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b\Desktop\"/>
    </mc:Choice>
  </mc:AlternateContent>
  <xr:revisionPtr revIDLastSave="0" documentId="13_ncr:1_{6D668F9D-7159-430A-83D4-1F5F086F4A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shboard" sheetId="1" r:id="rId1"/>
    <sheet name="Arretrati" sheetId="2" r:id="rId2"/>
    <sheet name="Cedolino" sheetId="3" r:id="rId3"/>
    <sheet name="Verifica_NoIPA" sheetId="4" r:id="rId4"/>
    <sheet name="Tabelle_CCNL" sheetId="5" r:id="rId5"/>
    <sheet name="Indennita" sheetId="6" r:id="rId6"/>
    <sheet name="Scenari" sheetId="7" r:id="rId7"/>
    <sheet name="Fonti" sheetId="8" r:id="rId8"/>
    <sheet name="Liste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F17" i="3"/>
  <c r="F16" i="3"/>
  <c r="F15" i="3"/>
  <c r="F10" i="3"/>
  <c r="F9" i="3"/>
  <c r="F8" i="3"/>
  <c r="F7" i="3"/>
  <c r="F6" i="3"/>
  <c r="F5" i="3"/>
  <c r="F11" i="3" s="1"/>
  <c r="P33" i="2"/>
  <c r="G33" i="2"/>
  <c r="P32" i="2"/>
  <c r="I32" i="2"/>
  <c r="H32" i="2"/>
  <c r="F32" i="2"/>
  <c r="E32" i="2"/>
  <c r="D32" i="2"/>
  <c r="C32" i="2"/>
  <c r="S32" i="2" s="1"/>
  <c r="P31" i="2"/>
  <c r="I31" i="2"/>
  <c r="H31" i="2"/>
  <c r="J31" i="2" s="1"/>
  <c r="F31" i="2"/>
  <c r="E31" i="2"/>
  <c r="D31" i="2"/>
  <c r="C31" i="2"/>
  <c r="S31" i="2" s="1"/>
  <c r="P30" i="2"/>
  <c r="I30" i="2"/>
  <c r="H30" i="2"/>
  <c r="F30" i="2"/>
  <c r="E30" i="2"/>
  <c r="D30" i="2"/>
  <c r="C30" i="2"/>
  <c r="S30" i="2" s="1"/>
  <c r="P29" i="2"/>
  <c r="I29" i="2"/>
  <c r="H29" i="2"/>
  <c r="F29" i="2"/>
  <c r="E29" i="2"/>
  <c r="D29" i="2"/>
  <c r="C29" i="2"/>
  <c r="S29" i="2" s="1"/>
  <c r="P28" i="2"/>
  <c r="I28" i="2"/>
  <c r="H28" i="2"/>
  <c r="J28" i="2" s="1"/>
  <c r="F28" i="2"/>
  <c r="E28" i="2"/>
  <c r="D28" i="2"/>
  <c r="C28" i="2"/>
  <c r="S28" i="2" s="1"/>
  <c r="P27" i="2"/>
  <c r="F27" i="2"/>
  <c r="E27" i="2"/>
  <c r="D27" i="2"/>
  <c r="C27" i="2"/>
  <c r="S27" i="2" s="1"/>
  <c r="P26" i="2"/>
  <c r="F26" i="2"/>
  <c r="E26" i="2"/>
  <c r="D26" i="2"/>
  <c r="C26" i="2"/>
  <c r="S26" i="2" s="1"/>
  <c r="P25" i="2"/>
  <c r="F25" i="2"/>
  <c r="E25" i="2"/>
  <c r="D25" i="2"/>
  <c r="C25" i="2"/>
  <c r="S25" i="2" s="1"/>
  <c r="P24" i="2"/>
  <c r="F24" i="2"/>
  <c r="E24" i="2"/>
  <c r="D24" i="2"/>
  <c r="I24" i="2" s="1"/>
  <c r="C24" i="2"/>
  <c r="S24" i="2" s="1"/>
  <c r="P23" i="2"/>
  <c r="F23" i="2"/>
  <c r="E23" i="2"/>
  <c r="I23" i="2" s="1"/>
  <c r="D23" i="2"/>
  <c r="C23" i="2"/>
  <c r="S23" i="2" s="1"/>
  <c r="P22" i="2"/>
  <c r="F22" i="2"/>
  <c r="E22" i="2"/>
  <c r="D22" i="2"/>
  <c r="C22" i="2"/>
  <c r="S22" i="2" s="1"/>
  <c r="P21" i="2"/>
  <c r="F21" i="2"/>
  <c r="E21" i="2"/>
  <c r="D21" i="2"/>
  <c r="C21" i="2"/>
  <c r="C33" i="2" s="1"/>
  <c r="S33" i="2" s="1"/>
  <c r="P20" i="2"/>
  <c r="G20" i="2"/>
  <c r="S19" i="2"/>
  <c r="P19" i="2"/>
  <c r="F19" i="2"/>
  <c r="E19" i="2"/>
  <c r="D19" i="2"/>
  <c r="C19" i="2"/>
  <c r="S18" i="2"/>
  <c r="P18" i="2"/>
  <c r="F18" i="2"/>
  <c r="E18" i="2"/>
  <c r="D18" i="2"/>
  <c r="C18" i="2"/>
  <c r="S17" i="2"/>
  <c r="P17" i="2"/>
  <c r="F17" i="2"/>
  <c r="E17" i="2"/>
  <c r="D17" i="2"/>
  <c r="I17" i="2" s="1"/>
  <c r="C17" i="2"/>
  <c r="S16" i="2"/>
  <c r="P16" i="2"/>
  <c r="F16" i="2"/>
  <c r="E16" i="2"/>
  <c r="D16" i="2"/>
  <c r="C16" i="2"/>
  <c r="S15" i="2"/>
  <c r="P15" i="2"/>
  <c r="F15" i="2"/>
  <c r="E15" i="2"/>
  <c r="D15" i="2"/>
  <c r="C15" i="2"/>
  <c r="S14" i="2"/>
  <c r="P14" i="2"/>
  <c r="F14" i="2"/>
  <c r="E14" i="2"/>
  <c r="D14" i="2"/>
  <c r="C14" i="2"/>
  <c r="S13" i="2"/>
  <c r="P13" i="2"/>
  <c r="F13" i="2"/>
  <c r="E13" i="2"/>
  <c r="D13" i="2"/>
  <c r="C13" i="2"/>
  <c r="S12" i="2"/>
  <c r="P12" i="2"/>
  <c r="F12" i="2"/>
  <c r="E12" i="2"/>
  <c r="D12" i="2"/>
  <c r="I12" i="2" s="1"/>
  <c r="C12" i="2"/>
  <c r="S11" i="2"/>
  <c r="P11" i="2"/>
  <c r="F11" i="2"/>
  <c r="E11" i="2"/>
  <c r="D11" i="2"/>
  <c r="C11" i="2"/>
  <c r="S10" i="2"/>
  <c r="P10" i="2"/>
  <c r="I10" i="2"/>
  <c r="F10" i="2"/>
  <c r="E10" i="2"/>
  <c r="D10" i="2"/>
  <c r="H10" i="2" s="1"/>
  <c r="J10" i="2" s="1"/>
  <c r="C10" i="2"/>
  <c r="S9" i="2"/>
  <c r="P9" i="2"/>
  <c r="I9" i="2"/>
  <c r="F9" i="2"/>
  <c r="E9" i="2"/>
  <c r="D9" i="2"/>
  <c r="C9" i="2"/>
  <c r="S8" i="2"/>
  <c r="P8" i="2"/>
  <c r="I8" i="2"/>
  <c r="F8" i="2"/>
  <c r="E8" i="2"/>
  <c r="D8" i="2"/>
  <c r="H8" i="2" s="1"/>
  <c r="C8" i="2"/>
  <c r="C20" i="2" s="1"/>
  <c r="S20" i="2" s="1"/>
  <c r="F15" i="1"/>
  <c r="F14" i="1"/>
  <c r="F13" i="1"/>
  <c r="F16" i="1" s="1"/>
  <c r="I27" i="2" l="1"/>
  <c r="I25" i="2"/>
  <c r="I11" i="2"/>
  <c r="I19" i="2"/>
  <c r="H9" i="2"/>
  <c r="J9" i="2" s="1"/>
  <c r="M9" i="2" s="1"/>
  <c r="I14" i="2"/>
  <c r="H23" i="2"/>
  <c r="J23" i="2" s="1"/>
  <c r="K23" i="2" s="1"/>
  <c r="I26" i="2"/>
  <c r="H25" i="2"/>
  <c r="J25" i="2" s="1"/>
  <c r="L25" i="2" s="1"/>
  <c r="I15" i="2"/>
  <c r="I21" i="2"/>
  <c r="I18" i="2"/>
  <c r="I13" i="2"/>
  <c r="I22" i="2"/>
  <c r="H27" i="2"/>
  <c r="J27" i="2" s="1"/>
  <c r="M27" i="2" s="1"/>
  <c r="I16" i="2"/>
  <c r="F6" i="1" s="1"/>
  <c r="J32" i="2"/>
  <c r="L32" i="2" s="1"/>
  <c r="J30" i="2"/>
  <c r="K30" i="2" s="1"/>
  <c r="H21" i="2"/>
  <c r="H26" i="2"/>
  <c r="J26" i="2" s="1"/>
  <c r="M26" i="2" s="1"/>
  <c r="H22" i="2"/>
  <c r="J29" i="2"/>
  <c r="M29" i="2" s="1"/>
  <c r="H24" i="2"/>
  <c r="J24" i="2" s="1"/>
  <c r="M24" i="2" s="1"/>
  <c r="M32" i="2"/>
  <c r="M28" i="2"/>
  <c r="L28" i="2"/>
  <c r="K28" i="2"/>
  <c r="N28" i="2" s="1"/>
  <c r="O28" i="2" s="1"/>
  <c r="F12" i="3"/>
  <c r="F13" i="3" s="1"/>
  <c r="M25" i="2"/>
  <c r="K25" i="2"/>
  <c r="M31" i="2"/>
  <c r="L31" i="2"/>
  <c r="K31" i="2"/>
  <c r="J8" i="2"/>
  <c r="K10" i="2"/>
  <c r="M10" i="2"/>
  <c r="L10" i="2"/>
  <c r="H11" i="2"/>
  <c r="J11" i="2" s="1"/>
  <c r="H12" i="2"/>
  <c r="J12" i="2" s="1"/>
  <c r="H13" i="2"/>
  <c r="H14" i="2"/>
  <c r="H15" i="2"/>
  <c r="J15" i="2" s="1"/>
  <c r="H16" i="2"/>
  <c r="H17" i="2"/>
  <c r="J17" i="2" s="1"/>
  <c r="H18" i="2"/>
  <c r="J18" i="2" s="1"/>
  <c r="H19" i="2"/>
  <c r="J19" i="2" s="1"/>
  <c r="S21" i="2"/>
  <c r="J13" i="2" l="1"/>
  <c r="J22" i="2"/>
  <c r="M22" i="2" s="1"/>
  <c r="K29" i="2"/>
  <c r="N29" i="2" s="1"/>
  <c r="O29" i="2" s="1"/>
  <c r="L29" i="2"/>
  <c r="K9" i="2"/>
  <c r="L9" i="2"/>
  <c r="K32" i="2"/>
  <c r="J14" i="2"/>
  <c r="M14" i="2" s="1"/>
  <c r="J16" i="2"/>
  <c r="K16" i="2" s="1"/>
  <c r="L24" i="2"/>
  <c r="M30" i="2"/>
  <c r="L30" i="2"/>
  <c r="N30" i="2" s="1"/>
  <c r="O30" i="2" s="1"/>
  <c r="K24" i="2"/>
  <c r="N24" i="2" s="1"/>
  <c r="O24" i="2" s="1"/>
  <c r="Q24" i="2" s="1"/>
  <c r="R24" i="2" s="1"/>
  <c r="L23" i="2"/>
  <c r="M23" i="2"/>
  <c r="N9" i="2"/>
  <c r="O9" i="2" s="1"/>
  <c r="Q9" i="2" s="1"/>
  <c r="R9" i="2" s="1"/>
  <c r="K26" i="2"/>
  <c r="L26" i="2"/>
  <c r="N25" i="2"/>
  <c r="O25" i="2" s="1"/>
  <c r="H33" i="2"/>
  <c r="J33" i="2" s="1"/>
  <c r="J21" i="2"/>
  <c r="M21" i="2" s="1"/>
  <c r="K22" i="2"/>
  <c r="K27" i="2"/>
  <c r="L22" i="2"/>
  <c r="L27" i="2"/>
  <c r="N32" i="2"/>
  <c r="O32" i="2" s="1"/>
  <c r="Q32" i="2" s="1"/>
  <c r="R32" i="2" s="1"/>
  <c r="Q29" i="2"/>
  <c r="R29" i="2" s="1"/>
  <c r="F14" i="3"/>
  <c r="F18" i="3" s="1"/>
  <c r="Q28" i="2"/>
  <c r="R28" i="2"/>
  <c r="L19" i="2"/>
  <c r="M19" i="2"/>
  <c r="K19" i="2"/>
  <c r="K18" i="2"/>
  <c r="M18" i="2"/>
  <c r="L18" i="2"/>
  <c r="N10" i="2"/>
  <c r="O10" i="2" s="1"/>
  <c r="K8" i="2"/>
  <c r="M8" i="2"/>
  <c r="L8" i="2"/>
  <c r="K11" i="2"/>
  <c r="M11" i="2"/>
  <c r="L11" i="2"/>
  <c r="K17" i="2"/>
  <c r="M17" i="2"/>
  <c r="L17" i="2"/>
  <c r="M15" i="2"/>
  <c r="L15" i="2"/>
  <c r="K15" i="2"/>
  <c r="H20" i="2"/>
  <c r="J20" i="2" s="1"/>
  <c r="K6" i="1"/>
  <c r="M13" i="2"/>
  <c r="L13" i="2"/>
  <c r="K13" i="2"/>
  <c r="N13" i="2" s="1"/>
  <c r="O13" i="2" s="1"/>
  <c r="N31" i="2"/>
  <c r="O31" i="2" s="1"/>
  <c r="K12" i="2"/>
  <c r="M12" i="2"/>
  <c r="L12" i="2"/>
  <c r="K14" i="2" l="1"/>
  <c r="L16" i="2"/>
  <c r="L14" i="2"/>
  <c r="N15" i="2"/>
  <c r="O15" i="2" s="1"/>
  <c r="N23" i="2"/>
  <c r="O23" i="2" s="1"/>
  <c r="M16" i="2"/>
  <c r="N16" i="2" s="1"/>
  <c r="O16" i="2" s="1"/>
  <c r="Q16" i="2" s="1"/>
  <c r="R16" i="2" s="1"/>
  <c r="N26" i="2"/>
  <c r="O26" i="2" s="1"/>
  <c r="Q26" i="2" s="1"/>
  <c r="N19" i="2"/>
  <c r="O19" i="2" s="1"/>
  <c r="Q19" i="2" s="1"/>
  <c r="R19" i="2" s="1"/>
  <c r="K21" i="2"/>
  <c r="L21" i="2"/>
  <c r="N21" i="2" s="1"/>
  <c r="O21" i="2" s="1"/>
  <c r="Q25" i="2"/>
  <c r="R25" i="2" s="1"/>
  <c r="N17" i="2"/>
  <c r="O17" i="2" s="1"/>
  <c r="Q17" i="2" s="1"/>
  <c r="R17" i="2" s="1"/>
  <c r="N27" i="2"/>
  <c r="O27" i="2" s="1"/>
  <c r="Q27" i="2" s="1"/>
  <c r="R27" i="2" s="1"/>
  <c r="M33" i="2"/>
  <c r="L33" i="2"/>
  <c r="K33" i="2"/>
  <c r="N33" i="2" s="1"/>
  <c r="O33" i="2" s="1"/>
  <c r="N22" i="2"/>
  <c r="O22" i="2" s="1"/>
  <c r="Q13" i="2"/>
  <c r="R13" i="2" s="1"/>
  <c r="Q15" i="2"/>
  <c r="R15" i="2" s="1"/>
  <c r="Q31" i="2"/>
  <c r="R31" i="2" s="1"/>
  <c r="Q10" i="2"/>
  <c r="R10" i="2" s="1"/>
  <c r="N11" i="2"/>
  <c r="O11" i="2" s="1"/>
  <c r="N18" i="2"/>
  <c r="O18" i="2" s="1"/>
  <c r="N12" i="2"/>
  <c r="O12" i="2" s="1"/>
  <c r="M20" i="2"/>
  <c r="L20" i="2"/>
  <c r="K20" i="2"/>
  <c r="N20" i="2" s="1"/>
  <c r="O20" i="2" s="1"/>
  <c r="Q30" i="2"/>
  <c r="R30" i="2" s="1"/>
  <c r="F5" i="1"/>
  <c r="F11" i="1"/>
  <c r="N8" i="2"/>
  <c r="F7" i="1"/>
  <c r="B4" i="4" s="1"/>
  <c r="D4" i="4" s="1"/>
  <c r="Q23" i="2"/>
  <c r="R23" i="2" s="1"/>
  <c r="K5" i="1"/>
  <c r="R26" i="2" l="1"/>
  <c r="N14" i="2"/>
  <c r="O14" i="2" s="1"/>
  <c r="Q14" i="2" s="1"/>
  <c r="R14" i="2" s="1"/>
  <c r="Q33" i="2"/>
  <c r="R33" i="2" s="1"/>
  <c r="Q22" i="2"/>
  <c r="R22" i="2"/>
  <c r="Q20" i="2"/>
  <c r="R20" i="2"/>
  <c r="F8" i="1"/>
  <c r="B5" i="4" s="1"/>
  <c r="D5" i="4" s="1"/>
  <c r="O8" i="2"/>
  <c r="Q12" i="2"/>
  <c r="R12" i="2" s="1"/>
  <c r="Q18" i="2"/>
  <c r="R18" i="2" s="1"/>
  <c r="Q21" i="2"/>
  <c r="R21" i="2" s="1"/>
  <c r="Q11" i="2"/>
  <c r="R11" i="2" s="1"/>
  <c r="L6" i="1" l="1"/>
  <c r="Q8" i="2"/>
  <c r="F9" i="1" s="1"/>
  <c r="B6" i="4" s="1"/>
  <c r="D6" i="4" s="1"/>
  <c r="R8" i="2" l="1"/>
  <c r="F10" i="1" l="1"/>
  <c r="B7" i="4" s="1"/>
  <c r="D7" i="4" s="1"/>
  <c r="L5" i="1"/>
</calcChain>
</file>

<file path=xl/sharedStrings.xml><?xml version="1.0" encoding="utf-8"?>
<sst xmlns="http://schemas.openxmlformats.org/spreadsheetml/2006/main" count="644" uniqueCount="340">
  <si>
    <t>Modello di stima: replica la logica del simulatore indicato e aggiunge gestione dei casi particolari. I valori netti restano una simulazione e vanno confrontati con il cedolino NoiPA.</t>
  </si>
  <si>
    <t>DATI PRINCIPALI</t>
  </si>
  <si>
    <t>RISULTATO ARRETRATI</t>
  </si>
  <si>
    <t>Anno</t>
  </si>
  <si>
    <t>Lordo dopo IVC</t>
  </si>
  <si>
    <t>Netto stimato</t>
  </si>
  <si>
    <t>Profilo iniziale</t>
  </si>
  <si>
    <t>Docente Scuola Media</t>
  </si>
  <si>
    <t>Aumento lordo teorico</t>
  </si>
  <si>
    <t>Gradone iniziale</t>
  </si>
  <si>
    <t>0-8</t>
  </si>
  <si>
    <t>IVC già erogata</t>
  </si>
  <si>
    <t>Stato contrattuale</t>
  </si>
  <si>
    <t>TI - Ruolo</t>
  </si>
  <si>
    <t>Lordo spettante dopo IVC</t>
  </si>
  <si>
    <t>Data inizio rapporto</t>
  </si>
  <si>
    <t>Previdenza stimata</t>
  </si>
  <si>
    <t>Data fine rapporto</t>
  </si>
  <si>
    <t>IRPEF separata stimata</t>
  </si>
  <si>
    <t>Part-time iniziale</t>
  </si>
  <si>
    <t>NETTO ARRETRATI STIMATO</t>
  </si>
  <si>
    <t>Data cambio gradone (facolt.)</t>
  </si>
  <si>
    <t>Fondo Espero lavoratore stimato</t>
  </si>
  <si>
    <t>Gradone dopo cambio</t>
  </si>
  <si>
    <t>9-14</t>
  </si>
  <si>
    <t>AUMENTI A REGIME 2027</t>
  </si>
  <si>
    <t>Data cambio profilo (facolt.)</t>
  </si>
  <si>
    <t>Incremento tabellare 2027</t>
  </si>
  <si>
    <t>Profilo dopo cambio</t>
  </si>
  <si>
    <t>RPD/CIA incremento 2027</t>
  </si>
  <si>
    <t>Data cambio part-time (facolt.)</t>
  </si>
  <si>
    <t>Una tantum ATA gennaio 2027</t>
  </si>
  <si>
    <t>Part-time dopo cambio</t>
  </si>
  <si>
    <t>Incremento mensile ordinario 2027</t>
  </si>
  <si>
    <t>Data fine periodo arretrati</t>
  </si>
  <si>
    <t>Aliquota tassazione separata</t>
  </si>
  <si>
    <t>INPDAP / pensione</t>
  </si>
  <si>
    <t>TFR/TFS equivalente</t>
  </si>
  <si>
    <t>Fondo credito</t>
  </si>
  <si>
    <t>Iscritto al Fondo Espero?</t>
  </si>
  <si>
    <t>NO</t>
  </si>
  <si>
    <t>Contributo Espero a carico lavoratore</t>
  </si>
  <si>
    <t>Come usare il file</t>
  </si>
  <si>
    <t>1. Modifica principalmente le celle gialle nel Dashboard. Gli input sono evidenziati in blu; le formule restano nere.</t>
  </si>
  <si>
    <t>2. Il foglio Arretrati genera il calcolo mese per mese. Puoi sovrascrivere profilo, gradone, part-time o quota del mese su una singola riga per gestire casi complessi.</t>
  </si>
  <si>
    <t>3. Per supplenze, aspettative non retribuite, spezzoni o mesi parziali usa la colonna 'Quota mese' (0%–100%).</t>
  </si>
  <si>
    <t>4. La tredicesima è calcolata pro-rata sulla media delle mensilità dell'anno e, coerentemente con la logica ricostruita del simulatore, non detrae IVC sulla riga della tredicesima.</t>
  </si>
  <si>
    <t>5. Nel foglio Verifica_NoIPA inserisci i dati reali del cedolino per confrontare immediatamente gli scostamenti.</t>
  </si>
  <si>
    <t>Fondo Espero: seleziona SI solo se sei iscritto e indica esclusivamente la percentuale a tuo carico (es. 1%). Non inserire la quota del datore di lavoro né il TFR.</t>
  </si>
  <si>
    <t>Cronistoria avanzata di liquidazione arretrati</t>
  </si>
  <si>
    <t>Le righe sono precompilate ma modificabili. Le celle verdi sono collegate agli input del Dashboard; puoi sostituirle per gestire cambi multipli, periodi parziali, aspettative, cessazioni o contratti diversi.</t>
  </si>
  <si>
    <t>Periodo</t>
  </si>
  <si>
    <t>Data rif.</t>
  </si>
  <si>
    <t>Includi</t>
  </si>
  <si>
    <t>Profilo</t>
  </si>
  <si>
    <t>Gradone</t>
  </si>
  <si>
    <t>Part-time</t>
  </si>
  <si>
    <t>Quota mese</t>
  </si>
  <si>
    <t>Aumento teorico</t>
  </si>
  <si>
    <t>IVC detratta</t>
  </si>
  <si>
    <t>Lordo spettante</t>
  </si>
  <si>
    <t>INPDAP</t>
  </si>
  <si>
    <t>TFR/TFS</t>
  </si>
  <si>
    <t>Previdenza tot. (incl. Espero)</t>
  </si>
  <si>
    <t>Imponibile fiscale</t>
  </si>
  <si>
    <t>Aliquota separata</t>
  </si>
  <si>
    <t>IRPEF</t>
  </si>
  <si>
    <t>Note</t>
  </si>
  <si>
    <t>Tipo</t>
  </si>
  <si>
    <t>Gennaio 2025</t>
  </si>
  <si>
    <t>Mese</t>
  </si>
  <si>
    <t>Febbraio 2025</t>
  </si>
  <si>
    <t>Marzo 2025</t>
  </si>
  <si>
    <t>Aprile 2025</t>
  </si>
  <si>
    <t>Maggio 2025</t>
  </si>
  <si>
    <t>Giugno 2025</t>
  </si>
  <si>
    <t>Luglio 2025</t>
  </si>
  <si>
    <t>Agosto 2025</t>
  </si>
  <si>
    <t>Settembre 2025</t>
  </si>
  <si>
    <t>Ottobre 2025</t>
  </si>
  <si>
    <t>Novembre 2025</t>
  </si>
  <si>
    <t>Dicembre 2025</t>
  </si>
  <si>
    <t>13ª Mensilità 2025</t>
  </si>
  <si>
    <t>Pro-rata annuale</t>
  </si>
  <si>
    <t>Pro-rata</t>
  </si>
  <si>
    <t>13a</t>
  </si>
  <si>
    <t>Gennaio 2026</t>
  </si>
  <si>
    <t>Febbraio 2026</t>
  </si>
  <si>
    <t>Marzo 2026</t>
  </si>
  <si>
    <t>Aprile 2026</t>
  </si>
  <si>
    <t>Maggio 2026</t>
  </si>
  <si>
    <t>Giugno 2026</t>
  </si>
  <si>
    <t>Luglio 2026</t>
  </si>
  <si>
    <t>Agosto 2026</t>
  </si>
  <si>
    <t>Settembre 2026</t>
  </si>
  <si>
    <t>Ottobre 2026</t>
  </si>
  <si>
    <t>Novembre 2026</t>
  </si>
  <si>
    <t>Dicembre 2026</t>
  </si>
  <si>
    <t>13ª Mensilità 2026</t>
  </si>
  <si>
    <t>Simulatore cedolino mensile – stima configurabile</t>
  </si>
  <si>
    <t>La parte mensile è volutamente configurabile: il netto NoiPA dipende da detrazioni, addizionali, conguagli, benefici fiscali e situazione personale. Il foglio calcola il lordo contrattuale e consente di usare un'aliquota IRPEF effettiva o una stima.</t>
  </si>
  <si>
    <t>INPUT CEDOLINO</t>
  </si>
  <si>
    <t>CALCOLO</t>
  </si>
  <si>
    <t>Mese simulato</t>
  </si>
  <si>
    <t>Tabellare mensile</t>
  </si>
  <si>
    <t>RPD/CIA mensile</t>
  </si>
  <si>
    <t>Indennità direzione fissa DSGA mensile</t>
  </si>
  <si>
    <t>Posizione economica / assegno</t>
  </si>
  <si>
    <t>Simula tredicesima?</t>
  </si>
  <si>
    <t>Altre competenze</t>
  </si>
  <si>
    <t>Posizione economica/assegno fisso mensile €</t>
  </si>
  <si>
    <t>Una tantum ATA</t>
  </si>
  <si>
    <t>Altre competenze lorde €</t>
  </si>
  <si>
    <t>Lordo mese</t>
  </si>
  <si>
    <t>Aliquota IRPEF effettiva stimata</t>
  </si>
  <si>
    <t>Previdenza stimata (incl. Espero)</t>
  </si>
  <si>
    <t>Addizionale regionale mensile €</t>
  </si>
  <si>
    <t>Addizionale comunale mensile €</t>
  </si>
  <si>
    <t>IRPEF stimata</t>
  </si>
  <si>
    <t>Benefici/detrazioni/bonus mensili €</t>
  </si>
  <si>
    <t>Addizionali</t>
  </si>
  <si>
    <t>Altre trattenute €</t>
  </si>
  <si>
    <t>Benefici/detrazioni</t>
  </si>
  <si>
    <t>Una tantum ATA gennaio 2027?</t>
  </si>
  <si>
    <t>SI</t>
  </si>
  <si>
    <t>Altre trattenute</t>
  </si>
  <si>
    <t>NETTO STIMATO</t>
  </si>
  <si>
    <t>di cui Fondo Espero lavoratore</t>
  </si>
  <si>
    <t>Verifica cedolino NoiPA – confronto con la stima</t>
  </si>
  <si>
    <t>Voce</t>
  </si>
  <si>
    <t>Stima modello €</t>
  </si>
  <si>
    <t>Cedolino NoiPA €</t>
  </si>
  <si>
    <t>Scostamento €</t>
  </si>
  <si>
    <t>IRPEF separata</t>
  </si>
  <si>
    <t>Netto arretrati</t>
  </si>
  <si>
    <t>Lettura dello scostamento</t>
  </si>
  <si>
    <t>Uno scostamento non significa necessariamente errore NoiPA: può derivare da aliquota media di tassazione separata diversa, regime previdenziale, periodi di servizio, variazioni di gradone, part-time, recuperi o conguagli. Usa il foglio Arretrati per ricostruire mese per mese il periodo effettivo.</t>
  </si>
  <si>
    <t>Tabelle ufficiali CCNL Scuola 2025-2027 e IVC derivata</t>
  </si>
  <si>
    <t>Incremento 2025 €/mese</t>
  </si>
  <si>
    <t>Incremento 2026 €/mese</t>
  </si>
  <si>
    <t>Incremento 2027 €/mese</t>
  </si>
  <si>
    <t>Tabellare annuo 2025 €</t>
  </si>
  <si>
    <t>Tabellare annuo 2026 €</t>
  </si>
  <si>
    <t>Tabellare annuo 2027 €</t>
  </si>
  <si>
    <t>Tabellare mensile pre-CCNL €</t>
  </si>
  <si>
    <t>IVC 0,6% Apr-Giu 2025 €</t>
  </si>
  <si>
    <t>IVC 1% da Lug 2025 €</t>
  </si>
  <si>
    <t>Categoria</t>
  </si>
  <si>
    <t>Fonte A1/A2</t>
  </si>
  <si>
    <t>Chiave</t>
  </si>
  <si>
    <t>ATA - Collaboratore</t>
  </si>
  <si>
    <t>ATA</t>
  </si>
  <si>
    <t>https://www.aranagenzia.it/wp-content/uploads/2026/07/2026_07_01_CCNL_C_IR_2025-2027-completo.pdf</t>
  </si>
  <si>
    <t>ATA - Collaboratore|0-8</t>
  </si>
  <si>
    <t>ATA - Collaboratore|9-14</t>
  </si>
  <si>
    <t>15-20</t>
  </si>
  <si>
    <t>ATA - Collaboratore|15-20</t>
  </si>
  <si>
    <t>21-27</t>
  </si>
  <si>
    <t>ATA - Collaboratore|21-27</t>
  </si>
  <si>
    <t>28-34</t>
  </si>
  <si>
    <t>ATA - Collaboratore|28-34</t>
  </si>
  <si>
    <t>35+</t>
  </si>
  <si>
    <t>ATA - Collaboratore|35+</t>
  </si>
  <si>
    <t>ATA - Operatore</t>
  </si>
  <si>
    <t>ATA - Operatore|0-8</t>
  </si>
  <si>
    <t>ATA - Operatore|9-14</t>
  </si>
  <si>
    <t>ATA - Operatore|15-20</t>
  </si>
  <si>
    <t>ATA - Operatore|21-27</t>
  </si>
  <si>
    <t>ATA - Operatore|28-34</t>
  </si>
  <si>
    <t>ATA - Operatore|35+</t>
  </si>
  <si>
    <t>ATA - Assistente</t>
  </si>
  <si>
    <t>ATA - Assistente|0-8</t>
  </si>
  <si>
    <t>ATA - Assistente|9-14</t>
  </si>
  <si>
    <t>ATA - Assistente|15-20</t>
  </si>
  <si>
    <t>ATA - Assistente|21-27</t>
  </si>
  <si>
    <t>ATA - Assistente|28-34</t>
  </si>
  <si>
    <t>ATA - Assistente|35+</t>
  </si>
  <si>
    <t>ATA - Funzionario/EQ (DSGA)</t>
  </si>
  <si>
    <t>ATA - Funzionario/EQ (DSGA)|0-8</t>
  </si>
  <si>
    <t>ATA - Funzionario/EQ (DSGA)|9-14</t>
  </si>
  <si>
    <t>ATA - Funzionario/EQ (DSGA)|15-20</t>
  </si>
  <si>
    <t>ATA - Funzionario/EQ (DSGA)|21-27</t>
  </si>
  <si>
    <t>ATA - Funzionario/EQ (DSGA)|28-34</t>
  </si>
  <si>
    <t>ATA - Funzionario/EQ (DSGA)|35+</t>
  </si>
  <si>
    <t>Docente Infanzia/Primaria</t>
  </si>
  <si>
    <t>DOCENTE</t>
  </si>
  <si>
    <t>Docente Infanzia/Primaria|0-8</t>
  </si>
  <si>
    <t>Docente Infanzia/Primaria|9-14</t>
  </si>
  <si>
    <t>Docente Infanzia/Primaria|15-20</t>
  </si>
  <si>
    <t>Docente Infanzia/Primaria|21-27</t>
  </si>
  <si>
    <t>Docente Infanzia/Primaria|28-34</t>
  </si>
  <si>
    <t>Docente Infanzia/Primaria|35+</t>
  </si>
  <si>
    <t>Docente Diplomato Sec. II</t>
  </si>
  <si>
    <t>Docente Diplomato Sec. II|0-8</t>
  </si>
  <si>
    <t>Docente Diplomato Sec. II|9-14</t>
  </si>
  <si>
    <t>Docente Diplomato Sec. II|15-20</t>
  </si>
  <si>
    <t>Docente Diplomato Sec. II|21-27</t>
  </si>
  <si>
    <t>Docente Diplomato Sec. II|28-34</t>
  </si>
  <si>
    <t>Docente Diplomato Sec. II|35+</t>
  </si>
  <si>
    <t>Docente Scuola Media|0-8</t>
  </si>
  <si>
    <t>Docente Scuola Media|9-14</t>
  </si>
  <si>
    <t>Docente Scuola Media|15-20</t>
  </si>
  <si>
    <t>Docente Scuola Media|21-27</t>
  </si>
  <si>
    <t>Docente Scuola Media|28-34</t>
  </si>
  <si>
    <t>Docente Scuola Media|35+</t>
  </si>
  <si>
    <t>Docente Laureato Sec. II</t>
  </si>
  <si>
    <t>Docente Laureato Sec. II|0-8</t>
  </si>
  <si>
    <t>Docente Laureato Sec. II|9-14</t>
  </si>
  <si>
    <t>Docente Laureato Sec. II|15-20</t>
  </si>
  <si>
    <t>Docente Laureato Sec. II|21-27</t>
  </si>
  <si>
    <t>Docente Laureato Sec. II|28-34</t>
  </si>
  <si>
    <t>Docente Laureato Sec. II|35+</t>
  </si>
  <si>
    <t>Indennità fisse e voci 2027</t>
  </si>
  <si>
    <t>Destinatari/Fascia</t>
  </si>
  <si>
    <t>Valore 2026 €</t>
  </si>
  <si>
    <t>Incremento 2027 €</t>
  </si>
  <si>
    <t>Valore 2027 €</t>
  </si>
  <si>
    <t>Mensilità</t>
  </si>
  <si>
    <t>Nota</t>
  </si>
  <si>
    <t>Fonte</t>
  </si>
  <si>
    <t>RPD</t>
  </si>
  <si>
    <t>Docenti 0-14 anni</t>
  </si>
  <si>
    <t>Retribuzione Professionale Docenti</t>
  </si>
  <si>
    <t>Docenti 15-27 anni</t>
  </si>
  <si>
    <t>Docenti da 28 anni</t>
  </si>
  <si>
    <t>CIA</t>
  </si>
  <si>
    <t>ATA Funzionari</t>
  </si>
  <si>
    <t>Compenso Individuale Accessorio</t>
  </si>
  <si>
    <t>ATA Assistenti</t>
  </si>
  <si>
    <t>ATA Operatori</t>
  </si>
  <si>
    <t>ATA Collaboratori</t>
  </si>
  <si>
    <t>Indennità direzione fissa</t>
  </si>
  <si>
    <t>DSGA</t>
  </si>
  <si>
    <t>Valore annuo</t>
  </si>
  <si>
    <t>ATA avente diritto</t>
  </si>
  <si>
    <t>Gennaio 2027; pro-rata part-time; condizioni art. 7</t>
  </si>
  <si>
    <t>Casistiche gestibili nel modello</t>
  </si>
  <si>
    <t>Caso</t>
  </si>
  <si>
    <t>Come impostarlo</t>
  </si>
  <si>
    <t>Profilo/gradone</t>
  </si>
  <si>
    <t>TI full-time, stesso gradone</t>
  </si>
  <si>
    <t>Usa solo Dashboard</t>
  </si>
  <si>
    <t>Qualsiasi</t>
  </si>
  <si>
    <t>100%</t>
  </si>
  <si>
    <t>01/01/2025–31/07/2026</t>
  </si>
  <si>
    <t>Automatica</t>
  </si>
  <si>
    <t>Se ATA: sì nel 2027</t>
  </si>
  <si>
    <t>Caso standard</t>
  </si>
  <si>
    <t>Part-time costante</t>
  </si>
  <si>
    <t>Imposta % part-time iniziale</t>
  </si>
  <si>
    <t>es. 50%</t>
  </si>
  <si>
    <t>Periodo effettivo</t>
  </si>
  <si>
    <t>Riduce aumento e IVC</t>
  </si>
  <si>
    <t>Part-time che cambia</t>
  </si>
  <si>
    <t>Usa data cambio part-time + nuova %</t>
  </si>
  <si>
    <t>variabile</t>
  </si>
  <si>
    <t>Per più cambi sovrascrivi righe Arretrati</t>
  </si>
  <si>
    <t>Cambio gradone</t>
  </si>
  <si>
    <t>Imposta data cambio gradone</t>
  </si>
  <si>
    <t>qualsiasi</t>
  </si>
  <si>
    <t>n/a</t>
  </si>
  <si>
    <t>Il mese della decorrenza usa il nuovo gradone</t>
  </si>
  <si>
    <t>Cambio profilo/ordine scuola</t>
  </si>
  <si>
    <t>Imposta data cambio profilo</t>
  </si>
  <si>
    <t>Due profili</t>
  </si>
  <si>
    <t>dipende</t>
  </si>
  <si>
    <t>Utile per passaggio di ruolo/profilo</t>
  </si>
  <si>
    <t>TD 30/6</t>
  </si>
  <si>
    <t>Data fine rapporto 30/06/2026</t>
  </si>
  <si>
    <t>fino a giugno</t>
  </si>
  <si>
    <t>ATA: se requisiti art.7</t>
  </si>
  <si>
    <t>Luglio 2026 escluso</t>
  </si>
  <si>
    <t>TD 31/8</t>
  </si>
  <si>
    <t>Data fine rapporto 31/08/2026</t>
  </si>
  <si>
    <t>include luglio</t>
  </si>
  <si>
    <t>Agosto non è arretrato se contratto applicato da agosto</t>
  </si>
  <si>
    <t>Supplenza breve / mesi non lavorati</t>
  </si>
  <si>
    <t>Metti Includi=0 o Quota mese=0</t>
  </si>
  <si>
    <t>discontinuo</t>
  </si>
  <si>
    <t>No, salvo requisiti specifici</t>
  </si>
  <si>
    <t>Gestione mese per mese</t>
  </si>
  <si>
    <t>Mese parziale</t>
  </si>
  <si>
    <t>Imposta Quota mese tra 0% e 100%</t>
  </si>
  <si>
    <t>singolo mese</t>
  </si>
  <si>
    <t>pro-rata se spettante</t>
  </si>
  <si>
    <t>Esempio 50% per metà mese</t>
  </si>
  <si>
    <t>Aspettativa/assenza senza retribuzione</t>
  </si>
  <si>
    <t>Metti Quota mese=0 o quota ridotta</t>
  </si>
  <si>
    <t>singolo periodo</t>
  </si>
  <si>
    <t>dipende dal servizio</t>
  </si>
  <si>
    <t>Evita di conteggiare retribuzione non spettante</t>
  </si>
  <si>
    <t>Cessato/pensionato nel 2025/26</t>
  </si>
  <si>
    <t>Imposta data fine rapporto</t>
  </si>
  <si>
    <t>fino alla cessazione</t>
  </si>
  <si>
    <t>Il CCNL disciplina effetti previdenziali dei nuovi stipendi</t>
  </si>
  <si>
    <t>Pagamento arretrati rinviato oltre luglio</t>
  </si>
  <si>
    <t>Sposta Data fine periodo arretrati</t>
  </si>
  <si>
    <t>fino al mese prima dell'adeguamento</t>
  </si>
  <si>
    <t>Per simulazioni diverse dal calendario NoiPA standard</t>
  </si>
  <si>
    <t>Fonti e metodologia</t>
  </si>
  <si>
    <t>Contenuto utilizzato</t>
  </si>
  <si>
    <t>URL</t>
  </si>
  <si>
    <t>Nota metodologica</t>
  </si>
  <si>
    <t>Orizzonte Scuola – simulatore</t>
  </si>
  <si>
    <t>Campi, logica di cronistoria, tassazione separata selezionabile, contributi 8,8% + 2% + 0,35%, IVC sottratta e riga tredicesima</t>
  </si>
  <si>
    <t>https://www.orizzontescuola.it/calcolo-arretrati-ccnl-2025-2027-simulatore-cedolino-noipa/</t>
  </si>
  <si>
    <t>La pagina è stata ricostruita anche tramite contenuti indicizzati perché l'accesso diretto può essere bloccato dal sito.</t>
  </si>
  <si>
    <t>ARAN – CCNL 2025-2027</t>
  </si>
  <si>
    <t>Tabelle A1/A2; RPD, CIA, indennità direzione; una tantum ATA</t>
  </si>
  <si>
    <t>Fonte primaria dei valori economici.</t>
  </si>
  <si>
    <t>NoiPA – IVC 2025</t>
  </si>
  <si>
    <t>IVC 0,6% dal 1/4/2025 al 30/6/2025 e 1% dal 1/7/2025</t>
  </si>
  <si>
    <t>https://noipa.mef.gov.it/cl/web/guest/-/indennita-di-vacanza-contrattuale-e-indennita-di-amministrazione-le-novita-in-arrivo</t>
  </si>
  <si>
    <t>L'IVC è calcolata sul tabellare pre-rinnovo ricavato dalle tabelle ARAN.</t>
  </si>
  <si>
    <t>NoiPA – applicazione agosto 2026</t>
  </si>
  <si>
    <t>Adeguamenti da cedolino agosto; arretrati 2025-2026 con emissione speciale</t>
  </si>
  <si>
    <t>https://noipa.mef.gov.it/cl/en/web/guest/-/ccnl-istruzione-e-ricerca-le-novita-ad-agosto</t>
  </si>
  <si>
    <t>Il file usa come default fine arretrati 31/07/2026.</t>
  </si>
  <si>
    <t>Agenzia Entrate – IRPEF 2026</t>
  </si>
  <si>
    <t>Aliquote IRPEF vigenti; seconda aliquota 33% dal 2026</t>
  </si>
  <si>
    <t>https://www.agenziaentrate.gov.it/portale/imposta-sul-reddito-delle-persone-fisiche-irpef-/aliquote-e-calcolo-dell-irpef</t>
  </si>
  <si>
    <t>Nel calcolo arretrati si usa l'aliquota media di tassazione separata scelta dall'utente, non l'IRPEF progressiva ordinaria.</t>
  </si>
  <si>
    <t>ARAN – CCNL 2022-2024</t>
  </si>
  <si>
    <t>Riferimento ai valori precedenti delle indennità fisse</t>
  </si>
  <si>
    <t>https://www.aranagenzia.it/documento_pubblico/contratto-collettivo-nazionale-di-lavoro-del-comparto-istruzione-e-ricerca-triennio-2022-2024/</t>
  </si>
  <si>
    <t>I valori 2026 RPD/CIA sono ricavati anche per differenza tra valore rideterminato 2027 e incremento 2027.</t>
  </si>
  <si>
    <t>Fondo Espero – contribuzione</t>
  </si>
  <si>
    <t>Quota a carico del lavoratore, quota datoriale e contribuzione al fondo</t>
  </si>
  <si>
    <t>https://www.fondoespero.it/faq/contribuzione</t>
  </si>
  <si>
    <t>Nel modello si sottrae dal netto solo la quota percentuale a carico del lavoratore; non la quota del datore di lavoro né il TFR.</t>
  </si>
  <si>
    <t>Avvertenza</t>
  </si>
  <si>
    <t>Il file è uno strumento di verifica e simulazione, non sostituisce il cedolino ufficiale o un calcolo dell'amministrazione. La tassazione separata effettiva dipende dalla posizione fiscale del dipendente. Addizionali, conguagli, detrazioni e benefici possono produrre scostamenti sul netto. Per questo il foglio separa sempre lordo, IVC, previdenza, imponibile e IRPEF.</t>
  </si>
  <si>
    <t>Profili</t>
  </si>
  <si>
    <t>Gradoni</t>
  </si>
  <si>
    <t>Aliquote separate</t>
  </si>
  <si>
    <t>Si/No</t>
  </si>
  <si>
    <t>Supplenza breve</t>
  </si>
  <si>
    <t>Cessato/Pensionato</t>
  </si>
  <si>
    <t>Altro</t>
  </si>
  <si>
    <t>Simulatore avanzato CCNL Scuola 2025-2027 – arretrati e cedolino - InfoScuola24.it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</si>
</sst>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;\-"/>
    <numFmt numFmtId="165" formatCode="mmm\ yyyy"/>
  </numFmts>
  <fonts count="12">
    <font>
      <sz val="11"/>
      <name val="Carlito"/>
    </font>
    <font>
      <b/>
      <sz val="11"/>
      <color rgb="FF000000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color rgb="FF0000FF"/>
      <name val="Carlito"/>
    </font>
    <font>
      <b/>
      <sz val="14"/>
      <name val="Carlito"/>
    </font>
    <font>
      <sz val="11"/>
      <color rgb="FF008000"/>
      <name val="Carlito"/>
    </font>
    <font>
      <sz val="11"/>
      <color rgb="FF000000"/>
      <name val="Carlito"/>
    </font>
    <font>
      <sz val="11"/>
      <color rgb="FF666666"/>
      <name val="Carlito"/>
    </font>
    <font>
      <i/>
      <sz val="11"/>
      <name val="Carlito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10" fontId="0" fillId="0" borderId="0" xfId="1" applyNumberFormat="1" applyFont="1"/>
    <xf numFmtId="164" fontId="0" fillId="0" borderId="0" xfId="1" applyNumberFormat="1" applyFont="1"/>
    <xf numFmtId="0" fontId="0" fillId="0" borderId="0" xfId="1" applyFont="1" applyAlignment="1">
      <alignment wrapText="1"/>
    </xf>
    <xf numFmtId="0" fontId="4" fillId="0" borderId="0" xfId="1" applyFont="1"/>
    <xf numFmtId="0" fontId="5" fillId="5" borderId="0" xfId="1" applyFont="1" applyFill="1"/>
    <xf numFmtId="14" fontId="5" fillId="5" borderId="0" xfId="1" applyNumberFormat="1" applyFont="1" applyFill="1"/>
    <xf numFmtId="10" fontId="5" fillId="5" borderId="0" xfId="1" applyNumberFormat="1" applyFont="1" applyFill="1"/>
    <xf numFmtId="164" fontId="6" fillId="6" borderId="0" xfId="1" applyNumberFormat="1" applyFont="1" applyFill="1"/>
    <xf numFmtId="165" fontId="0" fillId="0" borderId="0" xfId="1" applyNumberFormat="1" applyFont="1" applyAlignment="1">
      <alignment wrapText="1"/>
    </xf>
    <xf numFmtId="1" fontId="7" fillId="6" borderId="0" xfId="1" applyNumberFormat="1" applyFont="1" applyFill="1" applyAlignment="1">
      <alignment wrapText="1"/>
    </xf>
    <xf numFmtId="0" fontId="7" fillId="6" borderId="0" xfId="1" applyFont="1" applyFill="1" applyAlignment="1">
      <alignment wrapText="1"/>
    </xf>
    <xf numFmtId="10" fontId="7" fillId="6" borderId="0" xfId="1" applyNumberFormat="1" applyFont="1" applyFill="1" applyAlignment="1">
      <alignment wrapText="1"/>
    </xf>
    <xf numFmtId="164" fontId="8" fillId="0" borderId="0" xfId="1" applyNumberFormat="1" applyFont="1" applyAlignment="1">
      <alignment wrapText="1"/>
    </xf>
    <xf numFmtId="0" fontId="9" fillId="0" borderId="0" xfId="1" applyFont="1" applyAlignment="1">
      <alignment wrapText="1"/>
    </xf>
    <xf numFmtId="165" fontId="5" fillId="5" borderId="0" xfId="1" applyNumberFormat="1" applyFont="1" applyFill="1"/>
    <xf numFmtId="164" fontId="5" fillId="5" borderId="0" xfId="1" applyNumberFormat="1" applyFont="1" applyFill="1"/>
    <xf numFmtId="10" fontId="5" fillId="7" borderId="0" xfId="1" applyNumberFormat="1" applyFont="1" applyFill="1"/>
    <xf numFmtId="0" fontId="10" fillId="0" borderId="0" xfId="1" applyFont="1"/>
    <xf numFmtId="0" fontId="2" fillId="3" borderId="0" xfId="1" applyFont="1" applyFill="1" applyAlignment="1">
      <alignment horizontal="left" vertical="center"/>
    </xf>
    <xf numFmtId="0" fontId="0" fillId="0" borderId="0" xfId="1" applyFont="1" applyAlignment="1">
      <alignment wrapText="1"/>
    </xf>
    <xf numFmtId="0" fontId="3" fillId="4" borderId="0" xfId="1" applyFont="1" applyFill="1" applyAlignment="1">
      <alignment horizontal="left" vertical="center"/>
    </xf>
    <xf numFmtId="0" fontId="4" fillId="8" borderId="0" xfId="1" applyFont="1" applyFill="1" applyAlignment="1">
      <alignment wrapText="1"/>
    </xf>
  </cellXfs>
  <cellStyles count="2">
    <cellStyle name="Normal" xfId="1" xr:uid="{00000000-0005-0000-0000-000000000000}"/>
    <cellStyle name="Normale" xfId="0" builtinId="0"/>
  </cellStyles>
  <dxfs count="2">
    <dxf>
      <fill>
        <patternFill>
          <bgColor rgb="FFD9EAD3"/>
        </patternFill>
      </fill>
    </dxf>
    <dxf>
      <font>
        <b/>
      </font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title>
      <c:tx>
        <c:rich>
          <a:bodyPr/>
          <a:lstStyle/>
          <a:p>
            <a:r>
              <a:rPr lang="it-IT"/>
              <a:t>Arretrati per anno: lordo vs netto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Lordo dopo IVC</c:v>
          </c:tx>
          <c:invertIfNegative val="1"/>
          <c:cat>
            <c:numRef>
              <c:f>Dashboard!$J$5:$J$6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Dashboard!$K$5:$K$6</c:f>
              <c:numCache>
                <c:formatCode>#,##0.00;[Red]\(#,##0.00\);\-</c:formatCode>
                <c:ptCount val="2"/>
                <c:pt idx="0">
                  <c:v>383.18618000000009</c:v>
                </c:pt>
                <c:pt idx="1">
                  <c:v>489.59586666666672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7-47B7-A751-E4F397613266}"/>
            </c:ext>
          </c:extLst>
        </c:ser>
        <c:ser>
          <c:idx val="1"/>
          <c:order val="1"/>
          <c:tx>
            <c:v>Netto stimato</c:v>
          </c:tx>
          <c:invertIfNegative val="1"/>
          <c:cat>
            <c:numRef>
              <c:f>Dashboard!$J$5:$J$6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Dashboard!$L$5:$L$6</c:f>
              <c:numCache>
                <c:formatCode>#,##0.00;[Red]\(#,##0.00\);\-</c:formatCode>
                <c:ptCount val="2"/>
                <c:pt idx="0">
                  <c:v>262.15490911609993</c:v>
                </c:pt>
                <c:pt idx="1">
                  <c:v>334.9545642006666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7-47B7-A751-E4F397613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.00;[Red]\(#,##0.0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0</xdr:rowOff>
    </xdr:from>
    <xdr:to>
      <xdr:col>16</xdr:col>
      <xdr:colOff>0</xdr:colOff>
      <xdr:row>21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B5" sqref="B5"/>
    </sheetView>
  </sheetViews>
  <sheetFormatPr defaultRowHeight="14"/>
  <cols>
    <col min="1" max="1" width="34" customWidth="1"/>
    <col min="2" max="2" width="24" customWidth="1"/>
    <col min="3" max="4" width="3" customWidth="1"/>
    <col min="5" max="5" width="30" customWidth="1"/>
    <col min="6" max="6" width="18" customWidth="1"/>
    <col min="7" max="8" width="3" customWidth="1"/>
    <col min="10" max="10" width="12" customWidth="1"/>
    <col min="11" max="12" width="18" customWidth="1"/>
  </cols>
  <sheetData>
    <row r="1" spans="1:12" ht="20">
      <c r="A1" s="20" t="s">
        <v>339</v>
      </c>
      <c r="B1" s="20"/>
      <c r="C1" s="20"/>
      <c r="D1" s="20"/>
      <c r="E1" s="20"/>
      <c r="F1" s="20"/>
      <c r="G1" s="20"/>
      <c r="H1" s="20"/>
    </row>
    <row r="2" spans="1:12">
      <c r="A2" s="21" t="s">
        <v>0</v>
      </c>
      <c r="B2" s="21"/>
      <c r="C2" s="21"/>
      <c r="D2" s="21"/>
      <c r="E2" s="21"/>
      <c r="F2" s="21"/>
      <c r="G2" s="21"/>
      <c r="H2" s="21"/>
    </row>
    <row r="4" spans="1:12">
      <c r="A4" s="22" t="s">
        <v>1</v>
      </c>
      <c r="B4" s="22"/>
      <c r="C4" s="22"/>
      <c r="D4" s="22"/>
      <c r="E4" s="22" t="s">
        <v>2</v>
      </c>
      <c r="F4" s="22"/>
      <c r="G4" s="22"/>
      <c r="H4" s="22"/>
      <c r="J4" s="1" t="s">
        <v>3</v>
      </c>
      <c r="K4" s="1" t="s">
        <v>4</v>
      </c>
      <c r="L4" s="1" t="s">
        <v>5</v>
      </c>
    </row>
    <row r="5" spans="1:12">
      <c r="A5" s="5" t="s">
        <v>6</v>
      </c>
      <c r="B5" s="6" t="s">
        <v>7</v>
      </c>
      <c r="E5" s="5" t="s">
        <v>8</v>
      </c>
      <c r="F5" s="3">
        <f>SUM(Arretrati!H8:H33)</f>
        <v>1172.0908333333334</v>
      </c>
      <c r="J5">
        <v>2025</v>
      </c>
      <c r="K5" s="3">
        <f>SUMIFS(Arretrati!$J$8:$J$33,Arretrati!$U$8:$U$33,J5)</f>
        <v>383.18618000000009</v>
      </c>
      <c r="L5" s="3">
        <f>SUMIFS(Arretrati!$R$8:$R$33,Arretrati!$U$8:$U$33,J5)</f>
        <v>262.15490911609993</v>
      </c>
    </row>
    <row r="6" spans="1:12">
      <c r="A6" s="5" t="s">
        <v>9</v>
      </c>
      <c r="B6" s="6" t="s">
        <v>10</v>
      </c>
      <c r="E6" s="5" t="s">
        <v>11</v>
      </c>
      <c r="F6" s="3">
        <f>SUM(Arretrati!I8:I33)</f>
        <v>299.30878666666666</v>
      </c>
      <c r="J6">
        <v>2026</v>
      </c>
      <c r="K6" s="3">
        <f>SUMIFS(Arretrati!$J$8:$J$33,Arretrati!$U$8:$U$33,J6)</f>
        <v>489.59586666666672</v>
      </c>
      <c r="L6" s="3">
        <f>SUMIFS(Arretrati!$R$8:$R$33,Arretrati!$U$8:$U$33,J6)</f>
        <v>334.9545642006666</v>
      </c>
    </row>
    <row r="7" spans="1:12">
      <c r="A7" s="5" t="s">
        <v>12</v>
      </c>
      <c r="B7" s="6" t="s">
        <v>13</v>
      </c>
      <c r="E7" s="5" t="s">
        <v>14</v>
      </c>
      <c r="F7" s="3">
        <f>SUM(Arretrati!J8:J33)</f>
        <v>872.78204666666682</v>
      </c>
    </row>
    <row r="8" spans="1:12">
      <c r="A8" s="5" t="s">
        <v>15</v>
      </c>
      <c r="B8" s="7">
        <v>45658</v>
      </c>
      <c r="E8" s="5" t="s">
        <v>16</v>
      </c>
      <c r="F8" s="3">
        <f>SUM(Arretrati!N8:N33)</f>
        <v>97.315198203333352</v>
      </c>
    </row>
    <row r="9" spans="1:12">
      <c r="A9" s="5" t="s">
        <v>17</v>
      </c>
      <c r="B9" s="7">
        <v>46387</v>
      </c>
      <c r="E9" s="5" t="s">
        <v>18</v>
      </c>
      <c r="F9" s="3">
        <f>SUM(Arretrati!Q8:Q33)</f>
        <v>178.35737514656671</v>
      </c>
    </row>
    <row r="10" spans="1:12" ht="18">
      <c r="A10" s="5" t="s">
        <v>19</v>
      </c>
      <c r="B10" s="8">
        <v>1</v>
      </c>
      <c r="E10" s="5" t="s">
        <v>20</v>
      </c>
      <c r="F10" s="9">
        <f>SUM(Arretrati!R8:R33)</f>
        <v>597.10947331676653</v>
      </c>
    </row>
    <row r="11" spans="1:12">
      <c r="A11" s="5" t="s">
        <v>21</v>
      </c>
      <c r="B11" s="7"/>
      <c r="E11" s="5" t="s">
        <v>22</v>
      </c>
      <c r="F11" s="3">
        <f>SUM(Arretrati!J8:J33)*IF($B$22="SI",$B$23,0)</f>
        <v>0</v>
      </c>
    </row>
    <row r="12" spans="1:12">
      <c r="A12" s="5" t="s">
        <v>23</v>
      </c>
      <c r="B12" s="6" t="s">
        <v>24</v>
      </c>
      <c r="E12" s="22" t="s">
        <v>25</v>
      </c>
      <c r="F12" s="22"/>
      <c r="G12" s="22"/>
      <c r="H12" s="22"/>
    </row>
    <row r="13" spans="1:12">
      <c r="A13" s="5" t="s">
        <v>26</v>
      </c>
      <c r="B13" s="7"/>
      <c r="E13" t="s">
        <v>27</v>
      </c>
      <c r="F13" s="3">
        <f>SUMIFS(Tabelle_CCNL!$E$4:$E$51,Tabelle_CCNL!$A$4:$A$51,$B$5,Tabelle_CCNL!$B$4:$B$51,$B$6)*$B$10</f>
        <v>119.24</v>
      </c>
    </row>
    <row r="14" spans="1:12">
      <c r="A14" s="5" t="s">
        <v>28</v>
      </c>
      <c r="B14" s="6" t="s">
        <v>7</v>
      </c>
      <c r="E14" t="s">
        <v>29</v>
      </c>
      <c r="F14" s="3">
        <f>IF(LEFT($B$5,3)="ATA",IF($B$5="ATA - Funzionario/EQ (DSGA)",7.1,IF($B$5="ATA - Assistente",6.4,5.8)),IF(OR($B$6="0-8",$B$6="9-14"),5.3,IF(OR($B$6="15-20",$B$6="21-27"),6.6,8.3)))*$B$10</f>
        <v>5.3</v>
      </c>
    </row>
    <row r="15" spans="1:12">
      <c r="A15" s="5" t="s">
        <v>30</v>
      </c>
      <c r="B15" s="7"/>
      <c r="E15" t="s">
        <v>31</v>
      </c>
      <c r="F15" s="3">
        <f>IF(AND(LEFT($B$5,3)="ATA",OR($B$7="TI - Ruolo",$B$7="TD 31/8",$B$7="TD 30/6")),110*$B$10,0)</f>
        <v>0</v>
      </c>
    </row>
    <row r="16" spans="1:12">
      <c r="A16" s="5" t="s">
        <v>32</v>
      </c>
      <c r="B16" s="8">
        <v>1</v>
      </c>
      <c r="E16" t="s">
        <v>33</v>
      </c>
      <c r="F16" s="3">
        <f>F13+F14</f>
        <v>124.53999999999999</v>
      </c>
    </row>
    <row r="17" spans="1:8">
      <c r="A17" s="5" t="s">
        <v>34</v>
      </c>
      <c r="B17" s="7">
        <v>46234</v>
      </c>
    </row>
    <row r="18" spans="1:8">
      <c r="A18" s="5" t="s">
        <v>35</v>
      </c>
      <c r="B18" s="8">
        <v>0.23</v>
      </c>
    </row>
    <row r="19" spans="1:8">
      <c r="A19" s="5" t="s">
        <v>36</v>
      </c>
      <c r="B19" s="8">
        <v>8.7999999999999995E-2</v>
      </c>
    </row>
    <row r="20" spans="1:8">
      <c r="A20" s="5" t="s">
        <v>37</v>
      </c>
      <c r="B20" s="8">
        <v>0.02</v>
      </c>
    </row>
    <row r="21" spans="1:8">
      <c r="A21" s="5" t="s">
        <v>38</v>
      </c>
      <c r="B21" s="8">
        <v>3.5000000000000001E-3</v>
      </c>
    </row>
    <row r="22" spans="1:8">
      <c r="A22" s="5" t="s">
        <v>39</v>
      </c>
      <c r="B22" s="18" t="s">
        <v>40</v>
      </c>
    </row>
    <row r="23" spans="1:8">
      <c r="A23" t="s">
        <v>41</v>
      </c>
      <c r="B23" s="18">
        <v>0.01</v>
      </c>
    </row>
    <row r="24" spans="1:8">
      <c r="A24" s="22" t="s">
        <v>42</v>
      </c>
      <c r="B24" s="22"/>
      <c r="C24" s="22"/>
      <c r="D24" s="22"/>
      <c r="E24" s="22"/>
      <c r="F24" s="22"/>
      <c r="G24" s="22"/>
      <c r="H24" s="22"/>
    </row>
    <row r="25" spans="1:8">
      <c r="A25" s="21" t="s">
        <v>43</v>
      </c>
      <c r="B25" s="21"/>
      <c r="C25" s="21"/>
      <c r="D25" s="21"/>
      <c r="E25" s="21"/>
      <c r="F25" s="21"/>
      <c r="G25" s="21"/>
      <c r="H25" s="21"/>
    </row>
    <row r="26" spans="1:8">
      <c r="A26" s="21" t="s">
        <v>44</v>
      </c>
      <c r="B26" s="21"/>
      <c r="C26" s="21"/>
      <c r="D26" s="21"/>
      <c r="E26" s="21"/>
      <c r="F26" s="21"/>
      <c r="G26" s="21"/>
      <c r="H26" s="21"/>
    </row>
    <row r="27" spans="1:8">
      <c r="A27" s="21" t="s">
        <v>45</v>
      </c>
      <c r="B27" s="21"/>
      <c r="C27" s="21"/>
      <c r="D27" s="21"/>
      <c r="E27" s="21"/>
      <c r="F27" s="21"/>
      <c r="G27" s="21"/>
      <c r="H27" s="21"/>
    </row>
    <row r="28" spans="1:8">
      <c r="A28" s="21" t="s">
        <v>46</v>
      </c>
      <c r="B28" s="21"/>
      <c r="C28" s="21"/>
      <c r="D28" s="21"/>
      <c r="E28" s="21"/>
      <c r="F28" s="21"/>
      <c r="G28" s="21"/>
      <c r="H28" s="21"/>
    </row>
    <row r="29" spans="1:8">
      <c r="A29" s="21" t="s">
        <v>47</v>
      </c>
      <c r="B29" s="21"/>
      <c r="C29" s="21"/>
      <c r="D29" s="21"/>
      <c r="E29" s="21"/>
      <c r="F29" s="21"/>
      <c r="G29" s="21"/>
      <c r="H29" s="21"/>
    </row>
    <row r="30" spans="1:8">
      <c r="A30" s="23" t="s">
        <v>48</v>
      </c>
      <c r="B30" s="23"/>
      <c r="C30" s="23"/>
      <c r="D30" s="23"/>
      <c r="E30" s="23"/>
      <c r="F30" s="23"/>
      <c r="G30" s="23"/>
      <c r="H30" s="23"/>
    </row>
  </sheetData>
  <mergeCells count="12">
    <mergeCell ref="A29:H29"/>
    <mergeCell ref="A30:H30"/>
    <mergeCell ref="A24:H24"/>
    <mergeCell ref="A25:H25"/>
    <mergeCell ref="A26:H26"/>
    <mergeCell ref="A27:H27"/>
    <mergeCell ref="A28:H28"/>
    <mergeCell ref="A1:H1"/>
    <mergeCell ref="A2:H2"/>
    <mergeCell ref="A4:D4"/>
    <mergeCell ref="E4:H4"/>
    <mergeCell ref="E12:H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000-000000000000}">
          <x14:formula1>
            <xm:f>Liste!$A$2:$A$9</xm:f>
          </x14:formula1>
          <xm:sqref>B5 B14</xm:sqref>
        </x14:dataValidation>
        <x14:dataValidation type="list" xr:uid="{00000000-0002-0000-0000-000001000000}">
          <x14:formula1>
            <xm:f>Liste!$B$2:$B$7</xm:f>
          </x14:formula1>
          <xm:sqref>B6 B12</xm:sqref>
        </x14:dataValidation>
        <x14:dataValidation type="list" xr:uid="{00000000-0002-0000-0000-000002000000}">
          <x14:formula1>
            <xm:f>Liste!$D$2:$D$7</xm:f>
          </x14:formula1>
          <xm:sqref>B7</xm:sqref>
        </x14:dataValidation>
        <x14:dataValidation type="list" xr:uid="{00000000-0002-0000-0000-000005000000}">
          <x14:formula1>
            <xm:f>Liste!$C$2:$C$7</xm:f>
          </x14:formula1>
          <xm:sqref>B18</xm:sqref>
        </x14:dataValidation>
        <x14:dataValidation type="list" xr:uid="{00000000-0002-0000-0000-000006000000}">
          <x14:formula1>
            <xm:f>Liste!$E$2:$E$3</xm:f>
          </x14:formula1>
          <xm:sqref>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"/>
  <sheetViews>
    <sheetView workbookViewId="0"/>
  </sheetViews>
  <sheetFormatPr defaultRowHeight="14"/>
  <cols>
    <col min="1" max="1" width="20" customWidth="1"/>
    <col min="2" max="2" width="12" customWidth="1"/>
    <col min="3" max="3" width="9" customWidth="1"/>
    <col min="4" max="4" width="30" customWidth="1"/>
    <col min="5" max="5" width="10" customWidth="1"/>
    <col min="6" max="7" width="11" customWidth="1"/>
    <col min="8" max="8" width="15" customWidth="1"/>
    <col min="9" max="9" width="13" customWidth="1"/>
    <col min="10" max="10" width="15" customWidth="1"/>
    <col min="11" max="13" width="12" customWidth="1"/>
    <col min="14" max="14" width="14" customWidth="1"/>
    <col min="15" max="15" width="15" customWidth="1"/>
    <col min="16" max="17" width="13" customWidth="1"/>
    <col min="18" max="18" width="15" customWidth="1"/>
    <col min="19" max="19" width="28" customWidth="1"/>
    <col min="20" max="20" width="9" customWidth="1"/>
    <col min="21" max="21" width="8" customWidth="1"/>
  </cols>
  <sheetData>
    <row r="1" spans="1:21" ht="20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4" spans="1:21" ht="28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  <c r="F4" s="1" t="s">
        <v>56</v>
      </c>
      <c r="G4" s="1" t="s">
        <v>57</v>
      </c>
      <c r="H4" s="1" t="s">
        <v>58</v>
      </c>
      <c r="I4" s="1" t="s">
        <v>59</v>
      </c>
      <c r="J4" s="1" t="s">
        <v>60</v>
      </c>
      <c r="K4" s="1" t="s">
        <v>61</v>
      </c>
      <c r="L4" s="1" t="s">
        <v>62</v>
      </c>
      <c r="M4" s="1" t="s">
        <v>38</v>
      </c>
      <c r="N4" s="1" t="s">
        <v>63</v>
      </c>
      <c r="O4" s="1" t="s">
        <v>64</v>
      </c>
      <c r="P4" s="1" t="s">
        <v>65</v>
      </c>
      <c r="Q4" s="1" t="s">
        <v>66</v>
      </c>
      <c r="R4" s="1" t="s">
        <v>5</v>
      </c>
      <c r="S4" s="1" t="s">
        <v>67</v>
      </c>
      <c r="T4" s="1" t="s">
        <v>68</v>
      </c>
      <c r="U4" s="1" t="s">
        <v>3</v>
      </c>
    </row>
    <row r="5" spans="1:2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4" t="s">
        <v>69</v>
      </c>
      <c r="B8" s="10">
        <v>45658</v>
      </c>
      <c r="C8" s="11">
        <f>IF(AND(B8&gt;=Dashboard!$B$8,B8&lt;=EOMONTH(Dashboard!$B$9,0),B8&lt;=EOMONTH(Dashboard!$B$17,0)),1,0)</f>
        <v>1</v>
      </c>
      <c r="D8" s="12" t="str">
        <f>IF(AND(Dashboard!$B$13&lt;&gt;"",B8&gt;=Dashboard!$B$13),Dashboard!$B$14,Dashboard!$B$5)</f>
        <v>Docente Scuola Media</v>
      </c>
      <c r="E8" s="12" t="str">
        <f>IF(AND(Dashboard!$B$11&lt;&gt;"",B8&gt;=Dashboard!$B$11),Dashboard!$B$12,Dashboard!$B$6)</f>
        <v>0-8</v>
      </c>
      <c r="F8" s="13">
        <f>IF(AND(Dashboard!$B$15&lt;&gt;"",B8&gt;=Dashboard!$B$15),Dashboard!$B$16,Dashboard!$B$10)</f>
        <v>1</v>
      </c>
      <c r="G8" s="13">
        <v>1</v>
      </c>
      <c r="H8" s="14">
        <f>IF(C8=0,0,IF(YEAR(B8)=2025,SUMIFS(Tabelle_CCNL!$C$4:$C$51,Tabelle_CCNL!$A$4:$A$51,D8,Tabelle_CCNL!$B$4:$B$51,E8),SUMIFS(Tabelle_CCNL!$D$4:$D$51,Tabelle_CCNL!$A$4:$A$51,D8,Tabelle_CCNL!$B$4:$B$51,E8))*F8*G8)</f>
        <v>41.61</v>
      </c>
      <c r="I8" s="14">
        <f>IF(C8=0,0,IF(B8&lt;45748,0,IF(B8&lt;45839,SUMIFS(Tabelle_CCNL!$J$4:$J$51,Tabelle_CCNL!$A$4:$A$51,D8,Tabelle_CCNL!$B$4:$B$51,E8)*F8*G8,SUMIFS(Tabelle_CCNL!$K$4:$K$51,Tabelle_CCNL!$A$4:$A$51,D8,Tabelle_CCNL!$B$4:$B$51,E8)*F8*G8)))</f>
        <v>0</v>
      </c>
      <c r="J8" s="14">
        <f t="shared" ref="J8:J33" si="0">MAX(H8-I8,0)</f>
        <v>41.61</v>
      </c>
      <c r="K8" s="14">
        <f>J8*Dashboard!$B$19</f>
        <v>3.6616799999999996</v>
      </c>
      <c r="L8" s="14">
        <f>J8*Dashboard!$B$20</f>
        <v>0.83220000000000005</v>
      </c>
      <c r="M8" s="14">
        <f>J8*Dashboard!$B$21</f>
        <v>0.14563500000000001</v>
      </c>
      <c r="N8" s="14">
        <f>K8+L8+M8+J8*IF(Dashboard!$B$22="SI",Dashboard!$B$23,0)</f>
        <v>4.6395150000000003</v>
      </c>
      <c r="O8" s="14">
        <f t="shared" ref="O8:O33" si="1">MAX(J8-N8,0)</f>
        <v>36.970484999999996</v>
      </c>
      <c r="P8" s="14">
        <f>Dashboard!$B$18</f>
        <v>0.23</v>
      </c>
      <c r="Q8" s="14">
        <f t="shared" ref="Q8:Q33" si="2">O8*P8</f>
        <v>8.5032115499999996</v>
      </c>
      <c r="R8" s="14">
        <f t="shared" ref="R8:R33" si="3">O8-Q8</f>
        <v>28.467273449999997</v>
      </c>
      <c r="S8" s="15" t="str">
        <f t="shared" ref="S8:S33" si="4">IF(C8=0,"Escluso",IF(T8="13a","13a pro-rata, IVC non detratta",""))</f>
        <v/>
      </c>
      <c r="T8" s="15" t="s">
        <v>70</v>
      </c>
      <c r="U8" s="15">
        <v>2025</v>
      </c>
    </row>
    <row r="9" spans="1:21">
      <c r="A9" s="4" t="s">
        <v>71</v>
      </c>
      <c r="B9" s="10">
        <v>45689</v>
      </c>
      <c r="C9" s="11">
        <f>IF(AND(B9&gt;=Dashboard!$B$8,B9&lt;=EOMONTH(Dashboard!$B$9,0),B9&lt;=EOMONTH(Dashboard!$B$17,0)),1,0)</f>
        <v>1</v>
      </c>
      <c r="D9" s="12" t="str">
        <f>IF(AND(Dashboard!$B$13&lt;&gt;"",B9&gt;=Dashboard!$B$13),Dashboard!$B$14,Dashboard!$B$5)</f>
        <v>Docente Scuola Media</v>
      </c>
      <c r="E9" s="12" t="str">
        <f>IF(AND(Dashboard!$B$11&lt;&gt;"",B9&gt;=Dashboard!$B$11),Dashboard!$B$12,Dashboard!$B$6)</f>
        <v>0-8</v>
      </c>
      <c r="F9" s="13">
        <f>IF(AND(Dashboard!$B$15&lt;&gt;"",B9&gt;=Dashboard!$B$15),Dashboard!$B$16,Dashboard!$B$10)</f>
        <v>1</v>
      </c>
      <c r="G9" s="13">
        <v>1</v>
      </c>
      <c r="H9" s="14">
        <f>IF(C9=0,0,IF(YEAR(B9)=2025,SUMIFS(Tabelle_CCNL!$C$4:$C$51,Tabelle_CCNL!$A$4:$A$51,D9,Tabelle_CCNL!$B$4:$B$51,E9),SUMIFS(Tabelle_CCNL!$D$4:$D$51,Tabelle_CCNL!$A$4:$A$51,D9,Tabelle_CCNL!$B$4:$B$51,E9))*F9*G9)</f>
        <v>41.61</v>
      </c>
      <c r="I9" s="14">
        <f>IF(C9=0,0,IF(B9&lt;45748,0,IF(B9&lt;45839,SUMIFS(Tabelle_CCNL!$J$4:$J$51,Tabelle_CCNL!$A$4:$A$51,D9,Tabelle_CCNL!$B$4:$B$51,E9)*F9*G9,SUMIFS(Tabelle_CCNL!$K$4:$K$51,Tabelle_CCNL!$A$4:$A$51,D9,Tabelle_CCNL!$B$4:$B$51,E9)*F9*G9)))</f>
        <v>0</v>
      </c>
      <c r="J9" s="14">
        <f t="shared" si="0"/>
        <v>41.61</v>
      </c>
      <c r="K9" s="14">
        <f>J9*Dashboard!$B$19</f>
        <v>3.6616799999999996</v>
      </c>
      <c r="L9" s="14">
        <f>J9*Dashboard!$B$20</f>
        <v>0.83220000000000005</v>
      </c>
      <c r="M9" s="14">
        <f>J9*Dashboard!$B$21</f>
        <v>0.14563500000000001</v>
      </c>
      <c r="N9" s="14">
        <f>K9+L9+M9+J9*IF(Dashboard!$B$22="SI",Dashboard!$B$23,0)</f>
        <v>4.6395150000000003</v>
      </c>
      <c r="O9" s="14">
        <f t="shared" si="1"/>
        <v>36.970484999999996</v>
      </c>
      <c r="P9" s="14">
        <f>Dashboard!$B$18</f>
        <v>0.23</v>
      </c>
      <c r="Q9" s="14">
        <f t="shared" si="2"/>
        <v>8.5032115499999996</v>
      </c>
      <c r="R9" s="14">
        <f t="shared" si="3"/>
        <v>28.467273449999997</v>
      </c>
      <c r="S9" s="15" t="str">
        <f t="shared" si="4"/>
        <v/>
      </c>
      <c r="T9" s="15" t="s">
        <v>70</v>
      </c>
      <c r="U9" s="15">
        <v>2025</v>
      </c>
    </row>
    <row r="10" spans="1:21">
      <c r="A10" s="4" t="s">
        <v>72</v>
      </c>
      <c r="B10" s="10">
        <v>45717</v>
      </c>
      <c r="C10" s="11">
        <f>IF(AND(B10&gt;=Dashboard!$B$8,B10&lt;=EOMONTH(Dashboard!$B$9,0),B10&lt;=EOMONTH(Dashboard!$B$17,0)),1,0)</f>
        <v>1</v>
      </c>
      <c r="D10" s="12" t="str">
        <f>IF(AND(Dashboard!$B$13&lt;&gt;"",B10&gt;=Dashboard!$B$13),Dashboard!$B$14,Dashboard!$B$5)</f>
        <v>Docente Scuola Media</v>
      </c>
      <c r="E10" s="12" t="str">
        <f>IF(AND(Dashboard!$B$11&lt;&gt;"",B10&gt;=Dashboard!$B$11),Dashboard!$B$12,Dashboard!$B$6)</f>
        <v>0-8</v>
      </c>
      <c r="F10" s="13">
        <f>IF(AND(Dashboard!$B$15&lt;&gt;"",B10&gt;=Dashboard!$B$15),Dashboard!$B$16,Dashboard!$B$10)</f>
        <v>1</v>
      </c>
      <c r="G10" s="13">
        <v>1</v>
      </c>
      <c r="H10" s="14">
        <f>IF(C10=0,0,IF(YEAR(B10)=2025,SUMIFS(Tabelle_CCNL!$C$4:$C$51,Tabelle_CCNL!$A$4:$A$51,D10,Tabelle_CCNL!$B$4:$B$51,E10),SUMIFS(Tabelle_CCNL!$D$4:$D$51,Tabelle_CCNL!$A$4:$A$51,D10,Tabelle_CCNL!$B$4:$B$51,E10))*F10*G10)</f>
        <v>41.61</v>
      </c>
      <c r="I10" s="14">
        <f>IF(C10=0,0,IF(B10&lt;45748,0,IF(B10&lt;45839,SUMIFS(Tabelle_CCNL!$J$4:$J$51,Tabelle_CCNL!$A$4:$A$51,D10,Tabelle_CCNL!$B$4:$B$51,E10)*F10*G10,SUMIFS(Tabelle_CCNL!$K$4:$K$51,Tabelle_CCNL!$A$4:$A$51,D10,Tabelle_CCNL!$B$4:$B$51,E10)*F10*G10)))</f>
        <v>0</v>
      </c>
      <c r="J10" s="14">
        <f t="shared" si="0"/>
        <v>41.61</v>
      </c>
      <c r="K10" s="14">
        <f>J10*Dashboard!$B$19</f>
        <v>3.6616799999999996</v>
      </c>
      <c r="L10" s="14">
        <f>J10*Dashboard!$B$20</f>
        <v>0.83220000000000005</v>
      </c>
      <c r="M10" s="14">
        <f>J10*Dashboard!$B$21</f>
        <v>0.14563500000000001</v>
      </c>
      <c r="N10" s="14">
        <f>K10+L10+M10+J10*IF(Dashboard!$B$22="SI",Dashboard!$B$23,0)</f>
        <v>4.6395150000000003</v>
      </c>
      <c r="O10" s="14">
        <f t="shared" si="1"/>
        <v>36.970484999999996</v>
      </c>
      <c r="P10" s="14">
        <f>Dashboard!$B$18</f>
        <v>0.23</v>
      </c>
      <c r="Q10" s="14">
        <f t="shared" si="2"/>
        <v>8.5032115499999996</v>
      </c>
      <c r="R10" s="14">
        <f t="shared" si="3"/>
        <v>28.467273449999997</v>
      </c>
      <c r="S10" s="15" t="str">
        <f t="shared" si="4"/>
        <v/>
      </c>
      <c r="T10" s="15" t="s">
        <v>70</v>
      </c>
      <c r="U10" s="15">
        <v>2025</v>
      </c>
    </row>
    <row r="11" spans="1:21">
      <c r="A11" s="4" t="s">
        <v>73</v>
      </c>
      <c r="B11" s="10">
        <v>45748</v>
      </c>
      <c r="C11" s="11">
        <f>IF(AND(B11&gt;=Dashboard!$B$8,B11&lt;=EOMONTH(Dashboard!$B$9,0),B11&lt;=EOMONTH(Dashboard!$B$17,0)),1,0)</f>
        <v>1</v>
      </c>
      <c r="D11" s="12" t="str">
        <f>IF(AND(Dashboard!$B$13&lt;&gt;"",B11&gt;=Dashboard!$B$13),Dashboard!$B$14,Dashboard!$B$5)</f>
        <v>Docente Scuola Media</v>
      </c>
      <c r="E11" s="12" t="str">
        <f>IF(AND(Dashboard!$B$11&lt;&gt;"",B11&gt;=Dashboard!$B$11),Dashboard!$B$12,Dashboard!$B$6)</f>
        <v>0-8</v>
      </c>
      <c r="F11" s="13">
        <f>IF(AND(Dashboard!$B$15&lt;&gt;"",B11&gt;=Dashboard!$B$15),Dashboard!$B$16,Dashboard!$B$10)</f>
        <v>1</v>
      </c>
      <c r="G11" s="13">
        <v>1</v>
      </c>
      <c r="H11" s="14">
        <f>IF(C11=0,0,IF(YEAR(B11)=2025,SUMIFS(Tabelle_CCNL!$C$4:$C$51,Tabelle_CCNL!$A$4:$A$51,D11,Tabelle_CCNL!$B$4:$B$51,E11),SUMIFS(Tabelle_CCNL!$D$4:$D$51,Tabelle_CCNL!$A$4:$A$51,D11,Tabelle_CCNL!$B$4:$B$51,E11))*F11*G11)</f>
        <v>41.61</v>
      </c>
      <c r="I11" s="14">
        <f>IF(C11=0,0,IF(B11&lt;45748,0,IF(B11&lt;45839,SUMIFS(Tabelle_CCNL!$J$4:$J$51,Tabelle_CCNL!$A$4:$A$51,D11,Tabelle_CCNL!$B$4:$B$51,E11)*F11*G11,SUMIFS(Tabelle_CCNL!$K$4:$K$51,Tabelle_CCNL!$A$4:$A$51,D11,Tabelle_CCNL!$B$4:$B$51,E11)*F11*G11)))</f>
        <v>12.13414</v>
      </c>
      <c r="J11" s="14">
        <f t="shared" si="0"/>
        <v>29.475859999999997</v>
      </c>
      <c r="K11" s="14">
        <f>J11*Dashboard!$B$19</f>
        <v>2.5938756799999996</v>
      </c>
      <c r="L11" s="14">
        <f>J11*Dashboard!$B$20</f>
        <v>0.58951719999999996</v>
      </c>
      <c r="M11" s="14">
        <f>J11*Dashboard!$B$21</f>
        <v>0.10316550999999999</v>
      </c>
      <c r="N11" s="14">
        <f>K11+L11+M11+J11*IF(Dashboard!$B$22="SI",Dashboard!$B$23,0)</f>
        <v>3.2865583899999997</v>
      </c>
      <c r="O11" s="14">
        <f t="shared" si="1"/>
        <v>26.189301609999998</v>
      </c>
      <c r="P11" s="14">
        <f>Dashboard!$B$18</f>
        <v>0.23</v>
      </c>
      <c r="Q11" s="14">
        <f t="shared" si="2"/>
        <v>6.0235393703</v>
      </c>
      <c r="R11" s="14">
        <f t="shared" si="3"/>
        <v>20.165762239699998</v>
      </c>
      <c r="S11" s="15" t="str">
        <f t="shared" si="4"/>
        <v/>
      </c>
      <c r="T11" s="15" t="s">
        <v>70</v>
      </c>
      <c r="U11" s="15">
        <v>2025</v>
      </c>
    </row>
    <row r="12" spans="1:21">
      <c r="A12" s="4" t="s">
        <v>74</v>
      </c>
      <c r="B12" s="10">
        <v>45778</v>
      </c>
      <c r="C12" s="11">
        <f>IF(AND(B12&gt;=Dashboard!$B$8,B12&lt;=EOMONTH(Dashboard!$B$9,0),B12&lt;=EOMONTH(Dashboard!$B$17,0)),1,0)</f>
        <v>1</v>
      </c>
      <c r="D12" s="12" t="str">
        <f>IF(AND(Dashboard!$B$13&lt;&gt;"",B12&gt;=Dashboard!$B$13),Dashboard!$B$14,Dashboard!$B$5)</f>
        <v>Docente Scuola Media</v>
      </c>
      <c r="E12" s="12" t="str">
        <f>IF(AND(Dashboard!$B$11&lt;&gt;"",B12&gt;=Dashboard!$B$11),Dashboard!$B$12,Dashboard!$B$6)</f>
        <v>0-8</v>
      </c>
      <c r="F12" s="13">
        <f>IF(AND(Dashboard!$B$15&lt;&gt;"",B12&gt;=Dashboard!$B$15),Dashboard!$B$16,Dashboard!$B$10)</f>
        <v>1</v>
      </c>
      <c r="G12" s="13">
        <v>1</v>
      </c>
      <c r="H12" s="14">
        <f>IF(C12=0,0,IF(YEAR(B12)=2025,SUMIFS(Tabelle_CCNL!$C$4:$C$51,Tabelle_CCNL!$A$4:$A$51,D12,Tabelle_CCNL!$B$4:$B$51,E12),SUMIFS(Tabelle_CCNL!$D$4:$D$51,Tabelle_CCNL!$A$4:$A$51,D12,Tabelle_CCNL!$B$4:$B$51,E12))*F12*G12)</f>
        <v>41.61</v>
      </c>
      <c r="I12" s="14">
        <f>IF(C12=0,0,IF(B12&lt;45748,0,IF(B12&lt;45839,SUMIFS(Tabelle_CCNL!$J$4:$J$51,Tabelle_CCNL!$A$4:$A$51,D12,Tabelle_CCNL!$B$4:$B$51,E12)*F12*G12,SUMIFS(Tabelle_CCNL!$K$4:$K$51,Tabelle_CCNL!$A$4:$A$51,D12,Tabelle_CCNL!$B$4:$B$51,E12)*F12*G12)))</f>
        <v>12.13414</v>
      </c>
      <c r="J12" s="14">
        <f t="shared" si="0"/>
        <v>29.475859999999997</v>
      </c>
      <c r="K12" s="14">
        <f>J12*Dashboard!$B$19</f>
        <v>2.5938756799999996</v>
      </c>
      <c r="L12" s="14">
        <f>J12*Dashboard!$B$20</f>
        <v>0.58951719999999996</v>
      </c>
      <c r="M12" s="14">
        <f>J12*Dashboard!$B$21</f>
        <v>0.10316550999999999</v>
      </c>
      <c r="N12" s="14">
        <f>K12+L12+M12+J12*IF(Dashboard!$B$22="SI",Dashboard!$B$23,0)</f>
        <v>3.2865583899999997</v>
      </c>
      <c r="O12" s="14">
        <f t="shared" si="1"/>
        <v>26.189301609999998</v>
      </c>
      <c r="P12" s="14">
        <f>Dashboard!$B$18</f>
        <v>0.23</v>
      </c>
      <c r="Q12" s="14">
        <f t="shared" si="2"/>
        <v>6.0235393703</v>
      </c>
      <c r="R12" s="14">
        <f t="shared" si="3"/>
        <v>20.165762239699998</v>
      </c>
      <c r="S12" s="15" t="str">
        <f t="shared" si="4"/>
        <v/>
      </c>
      <c r="T12" s="15" t="s">
        <v>70</v>
      </c>
      <c r="U12" s="15">
        <v>2025</v>
      </c>
    </row>
    <row r="13" spans="1:21">
      <c r="A13" s="4" t="s">
        <v>75</v>
      </c>
      <c r="B13" s="10">
        <v>45809</v>
      </c>
      <c r="C13" s="11">
        <f>IF(AND(B13&gt;=Dashboard!$B$8,B13&lt;=EOMONTH(Dashboard!$B$9,0),B13&lt;=EOMONTH(Dashboard!$B$17,0)),1,0)</f>
        <v>1</v>
      </c>
      <c r="D13" s="12" t="str">
        <f>IF(AND(Dashboard!$B$13&lt;&gt;"",B13&gt;=Dashboard!$B$13),Dashboard!$B$14,Dashboard!$B$5)</f>
        <v>Docente Scuola Media</v>
      </c>
      <c r="E13" s="12" t="str">
        <f>IF(AND(Dashboard!$B$11&lt;&gt;"",B13&gt;=Dashboard!$B$11),Dashboard!$B$12,Dashboard!$B$6)</f>
        <v>0-8</v>
      </c>
      <c r="F13" s="13">
        <f>IF(AND(Dashboard!$B$15&lt;&gt;"",B13&gt;=Dashboard!$B$15),Dashboard!$B$16,Dashboard!$B$10)</f>
        <v>1</v>
      </c>
      <c r="G13" s="13">
        <v>1</v>
      </c>
      <c r="H13" s="14">
        <f>IF(C13=0,0,IF(YEAR(B13)=2025,SUMIFS(Tabelle_CCNL!$C$4:$C$51,Tabelle_CCNL!$A$4:$A$51,D13,Tabelle_CCNL!$B$4:$B$51,E13),SUMIFS(Tabelle_CCNL!$D$4:$D$51,Tabelle_CCNL!$A$4:$A$51,D13,Tabelle_CCNL!$B$4:$B$51,E13))*F13*G13)</f>
        <v>41.61</v>
      </c>
      <c r="I13" s="14">
        <f>IF(C13=0,0,IF(B13&lt;45748,0,IF(B13&lt;45839,SUMIFS(Tabelle_CCNL!$J$4:$J$51,Tabelle_CCNL!$A$4:$A$51,D13,Tabelle_CCNL!$B$4:$B$51,E13)*F13*G13,SUMIFS(Tabelle_CCNL!$K$4:$K$51,Tabelle_CCNL!$A$4:$A$51,D13,Tabelle_CCNL!$B$4:$B$51,E13)*F13*G13)))</f>
        <v>12.13414</v>
      </c>
      <c r="J13" s="14">
        <f t="shared" si="0"/>
        <v>29.475859999999997</v>
      </c>
      <c r="K13" s="14">
        <f>J13*Dashboard!$B$19</f>
        <v>2.5938756799999996</v>
      </c>
      <c r="L13" s="14">
        <f>J13*Dashboard!$B$20</f>
        <v>0.58951719999999996</v>
      </c>
      <c r="M13" s="14">
        <f>J13*Dashboard!$B$21</f>
        <v>0.10316550999999999</v>
      </c>
      <c r="N13" s="14">
        <f>K13+L13+M13+J13*IF(Dashboard!$B$22="SI",Dashboard!$B$23,0)</f>
        <v>3.2865583899999997</v>
      </c>
      <c r="O13" s="14">
        <f t="shared" si="1"/>
        <v>26.189301609999998</v>
      </c>
      <c r="P13" s="14">
        <f>Dashboard!$B$18</f>
        <v>0.23</v>
      </c>
      <c r="Q13" s="14">
        <f t="shared" si="2"/>
        <v>6.0235393703</v>
      </c>
      <c r="R13" s="14">
        <f t="shared" si="3"/>
        <v>20.165762239699998</v>
      </c>
      <c r="S13" s="15" t="str">
        <f t="shared" si="4"/>
        <v/>
      </c>
      <c r="T13" s="15" t="s">
        <v>70</v>
      </c>
      <c r="U13" s="15">
        <v>2025</v>
      </c>
    </row>
    <row r="14" spans="1:21">
      <c r="A14" s="4" t="s">
        <v>76</v>
      </c>
      <c r="B14" s="10">
        <v>45839</v>
      </c>
      <c r="C14" s="11">
        <f>IF(AND(B14&gt;=Dashboard!$B$8,B14&lt;=EOMONTH(Dashboard!$B$9,0),B14&lt;=EOMONTH(Dashboard!$B$17,0)),1,0)</f>
        <v>1</v>
      </c>
      <c r="D14" s="12" t="str">
        <f>IF(AND(Dashboard!$B$13&lt;&gt;"",B14&gt;=Dashboard!$B$13),Dashboard!$B$14,Dashboard!$B$5)</f>
        <v>Docente Scuola Media</v>
      </c>
      <c r="E14" s="12" t="str">
        <f>IF(AND(Dashboard!$B$11&lt;&gt;"",B14&gt;=Dashboard!$B$11),Dashboard!$B$12,Dashboard!$B$6)</f>
        <v>0-8</v>
      </c>
      <c r="F14" s="13">
        <f>IF(AND(Dashboard!$B$15&lt;&gt;"",B14&gt;=Dashboard!$B$15),Dashboard!$B$16,Dashboard!$B$10)</f>
        <v>1</v>
      </c>
      <c r="G14" s="13">
        <v>1</v>
      </c>
      <c r="H14" s="14">
        <f>IF(C14=0,0,IF(YEAR(B14)=2025,SUMIFS(Tabelle_CCNL!$C$4:$C$51,Tabelle_CCNL!$A$4:$A$51,D14,Tabelle_CCNL!$B$4:$B$51,E14),SUMIFS(Tabelle_CCNL!$D$4:$D$51,Tabelle_CCNL!$A$4:$A$51,D14,Tabelle_CCNL!$B$4:$B$51,E14))*F14*G14)</f>
        <v>41.61</v>
      </c>
      <c r="I14" s="14">
        <f>IF(C14=0,0,IF(B14&lt;45748,0,IF(B14&lt;45839,SUMIFS(Tabelle_CCNL!$J$4:$J$51,Tabelle_CCNL!$A$4:$A$51,D14,Tabelle_CCNL!$B$4:$B$51,E14)*F14*G14,SUMIFS(Tabelle_CCNL!$K$4:$K$51,Tabelle_CCNL!$A$4:$A$51,D14,Tabelle_CCNL!$B$4:$B$51,E14)*F14*G14)))</f>
        <v>20.223566666666667</v>
      </c>
      <c r="J14" s="14">
        <f t="shared" si="0"/>
        <v>21.386433333333333</v>
      </c>
      <c r="K14" s="14">
        <f>J14*Dashboard!$B$19</f>
        <v>1.8820061333333331</v>
      </c>
      <c r="L14" s="14">
        <f>J14*Dashboard!$B$20</f>
        <v>0.42772866666666665</v>
      </c>
      <c r="M14" s="14">
        <f>J14*Dashboard!$B$21</f>
        <v>7.485251666666666E-2</v>
      </c>
      <c r="N14" s="14">
        <f>K14+L14+M14+J14*IF(Dashboard!$B$22="SI",Dashboard!$B$23,0)</f>
        <v>2.3845873166666665</v>
      </c>
      <c r="O14" s="14">
        <f t="shared" si="1"/>
        <v>19.001846016666665</v>
      </c>
      <c r="P14" s="14">
        <f>Dashboard!$B$18</f>
        <v>0.23</v>
      </c>
      <c r="Q14" s="14">
        <f t="shared" si="2"/>
        <v>4.3704245838333335</v>
      </c>
      <c r="R14" s="14">
        <f t="shared" si="3"/>
        <v>14.631421432833331</v>
      </c>
      <c r="S14" s="15" t="str">
        <f t="shared" si="4"/>
        <v/>
      </c>
      <c r="T14" s="15" t="s">
        <v>70</v>
      </c>
      <c r="U14" s="15">
        <v>2025</v>
      </c>
    </row>
    <row r="15" spans="1:21">
      <c r="A15" s="4" t="s">
        <v>77</v>
      </c>
      <c r="B15" s="10">
        <v>45870</v>
      </c>
      <c r="C15" s="11">
        <f>IF(AND(B15&gt;=Dashboard!$B$8,B15&lt;=EOMONTH(Dashboard!$B$9,0),B15&lt;=EOMONTH(Dashboard!$B$17,0)),1,0)</f>
        <v>1</v>
      </c>
      <c r="D15" s="12" t="str">
        <f>IF(AND(Dashboard!$B$13&lt;&gt;"",B15&gt;=Dashboard!$B$13),Dashboard!$B$14,Dashboard!$B$5)</f>
        <v>Docente Scuola Media</v>
      </c>
      <c r="E15" s="12" t="str">
        <f>IF(AND(Dashboard!$B$11&lt;&gt;"",B15&gt;=Dashboard!$B$11),Dashboard!$B$12,Dashboard!$B$6)</f>
        <v>0-8</v>
      </c>
      <c r="F15" s="13">
        <f>IF(AND(Dashboard!$B$15&lt;&gt;"",B15&gt;=Dashboard!$B$15),Dashboard!$B$16,Dashboard!$B$10)</f>
        <v>1</v>
      </c>
      <c r="G15" s="13">
        <v>1</v>
      </c>
      <c r="H15" s="14">
        <f>IF(C15=0,0,IF(YEAR(B15)=2025,SUMIFS(Tabelle_CCNL!$C$4:$C$51,Tabelle_CCNL!$A$4:$A$51,D15,Tabelle_CCNL!$B$4:$B$51,E15),SUMIFS(Tabelle_CCNL!$D$4:$D$51,Tabelle_CCNL!$A$4:$A$51,D15,Tabelle_CCNL!$B$4:$B$51,E15))*F15*G15)</f>
        <v>41.61</v>
      </c>
      <c r="I15" s="14">
        <f>IF(C15=0,0,IF(B15&lt;45748,0,IF(B15&lt;45839,SUMIFS(Tabelle_CCNL!$J$4:$J$51,Tabelle_CCNL!$A$4:$A$51,D15,Tabelle_CCNL!$B$4:$B$51,E15)*F15*G15,SUMIFS(Tabelle_CCNL!$K$4:$K$51,Tabelle_CCNL!$A$4:$A$51,D15,Tabelle_CCNL!$B$4:$B$51,E15)*F15*G15)))</f>
        <v>20.223566666666667</v>
      </c>
      <c r="J15" s="14">
        <f t="shared" si="0"/>
        <v>21.386433333333333</v>
      </c>
      <c r="K15" s="14">
        <f>J15*Dashboard!$B$19</f>
        <v>1.8820061333333331</v>
      </c>
      <c r="L15" s="14">
        <f>J15*Dashboard!$B$20</f>
        <v>0.42772866666666665</v>
      </c>
      <c r="M15" s="14">
        <f>J15*Dashboard!$B$21</f>
        <v>7.485251666666666E-2</v>
      </c>
      <c r="N15" s="14">
        <f>K15+L15+M15+J15*IF(Dashboard!$B$22="SI",Dashboard!$B$23,0)</f>
        <v>2.3845873166666665</v>
      </c>
      <c r="O15" s="14">
        <f t="shared" si="1"/>
        <v>19.001846016666665</v>
      </c>
      <c r="P15" s="14">
        <f>Dashboard!$B$18</f>
        <v>0.23</v>
      </c>
      <c r="Q15" s="14">
        <f t="shared" si="2"/>
        <v>4.3704245838333335</v>
      </c>
      <c r="R15" s="14">
        <f t="shared" si="3"/>
        <v>14.631421432833331</v>
      </c>
      <c r="S15" s="15" t="str">
        <f t="shared" si="4"/>
        <v/>
      </c>
      <c r="T15" s="15" t="s">
        <v>70</v>
      </c>
      <c r="U15" s="15">
        <v>2025</v>
      </c>
    </row>
    <row r="16" spans="1:21">
      <c r="A16" s="4" t="s">
        <v>78</v>
      </c>
      <c r="B16" s="10">
        <v>45901</v>
      </c>
      <c r="C16" s="11">
        <f>IF(AND(B16&gt;=Dashboard!$B$8,B16&lt;=EOMONTH(Dashboard!$B$9,0),B16&lt;=EOMONTH(Dashboard!$B$17,0)),1,0)</f>
        <v>1</v>
      </c>
      <c r="D16" s="12" t="str">
        <f>IF(AND(Dashboard!$B$13&lt;&gt;"",B16&gt;=Dashboard!$B$13),Dashboard!$B$14,Dashboard!$B$5)</f>
        <v>Docente Scuola Media</v>
      </c>
      <c r="E16" s="12" t="str">
        <f>IF(AND(Dashboard!$B$11&lt;&gt;"",B16&gt;=Dashboard!$B$11),Dashboard!$B$12,Dashboard!$B$6)</f>
        <v>0-8</v>
      </c>
      <c r="F16" s="13">
        <f>IF(AND(Dashboard!$B$15&lt;&gt;"",B16&gt;=Dashboard!$B$15),Dashboard!$B$16,Dashboard!$B$10)</f>
        <v>1</v>
      </c>
      <c r="G16" s="13">
        <v>1</v>
      </c>
      <c r="H16" s="14">
        <f>IF(C16=0,0,IF(YEAR(B16)=2025,SUMIFS(Tabelle_CCNL!$C$4:$C$51,Tabelle_CCNL!$A$4:$A$51,D16,Tabelle_CCNL!$B$4:$B$51,E16),SUMIFS(Tabelle_CCNL!$D$4:$D$51,Tabelle_CCNL!$A$4:$A$51,D16,Tabelle_CCNL!$B$4:$B$51,E16))*F16*G16)</f>
        <v>41.61</v>
      </c>
      <c r="I16" s="14">
        <f>IF(C16=0,0,IF(B16&lt;45748,0,IF(B16&lt;45839,SUMIFS(Tabelle_CCNL!$J$4:$J$51,Tabelle_CCNL!$A$4:$A$51,D16,Tabelle_CCNL!$B$4:$B$51,E16)*F16*G16,SUMIFS(Tabelle_CCNL!$K$4:$K$51,Tabelle_CCNL!$A$4:$A$51,D16,Tabelle_CCNL!$B$4:$B$51,E16)*F16*G16)))</f>
        <v>20.223566666666667</v>
      </c>
      <c r="J16" s="14">
        <f t="shared" si="0"/>
        <v>21.386433333333333</v>
      </c>
      <c r="K16" s="14">
        <f>J16*Dashboard!$B$19</f>
        <v>1.8820061333333331</v>
      </c>
      <c r="L16" s="14">
        <f>J16*Dashboard!$B$20</f>
        <v>0.42772866666666665</v>
      </c>
      <c r="M16" s="14">
        <f>J16*Dashboard!$B$21</f>
        <v>7.485251666666666E-2</v>
      </c>
      <c r="N16" s="14">
        <f>K16+L16+M16+J16*IF(Dashboard!$B$22="SI",Dashboard!$B$23,0)</f>
        <v>2.3845873166666665</v>
      </c>
      <c r="O16" s="14">
        <f t="shared" si="1"/>
        <v>19.001846016666665</v>
      </c>
      <c r="P16" s="14">
        <f>Dashboard!$B$18</f>
        <v>0.23</v>
      </c>
      <c r="Q16" s="14">
        <f t="shared" si="2"/>
        <v>4.3704245838333335</v>
      </c>
      <c r="R16" s="14">
        <f t="shared" si="3"/>
        <v>14.631421432833331</v>
      </c>
      <c r="S16" s="15" t="str">
        <f t="shared" si="4"/>
        <v/>
      </c>
      <c r="T16" s="15" t="s">
        <v>70</v>
      </c>
      <c r="U16" s="15">
        <v>2025</v>
      </c>
    </row>
    <row r="17" spans="1:21">
      <c r="A17" s="4" t="s">
        <v>79</v>
      </c>
      <c r="B17" s="10">
        <v>45931</v>
      </c>
      <c r="C17" s="11">
        <f>IF(AND(B17&gt;=Dashboard!$B$8,B17&lt;=EOMONTH(Dashboard!$B$9,0),B17&lt;=EOMONTH(Dashboard!$B$17,0)),1,0)</f>
        <v>1</v>
      </c>
      <c r="D17" s="12" t="str">
        <f>IF(AND(Dashboard!$B$13&lt;&gt;"",B17&gt;=Dashboard!$B$13),Dashboard!$B$14,Dashboard!$B$5)</f>
        <v>Docente Scuola Media</v>
      </c>
      <c r="E17" s="12" t="str">
        <f>IF(AND(Dashboard!$B$11&lt;&gt;"",B17&gt;=Dashboard!$B$11),Dashboard!$B$12,Dashboard!$B$6)</f>
        <v>0-8</v>
      </c>
      <c r="F17" s="13">
        <f>IF(AND(Dashboard!$B$15&lt;&gt;"",B17&gt;=Dashboard!$B$15),Dashboard!$B$16,Dashboard!$B$10)</f>
        <v>1</v>
      </c>
      <c r="G17" s="13">
        <v>1</v>
      </c>
      <c r="H17" s="14">
        <f>IF(C17=0,0,IF(YEAR(B17)=2025,SUMIFS(Tabelle_CCNL!$C$4:$C$51,Tabelle_CCNL!$A$4:$A$51,D17,Tabelle_CCNL!$B$4:$B$51,E17),SUMIFS(Tabelle_CCNL!$D$4:$D$51,Tabelle_CCNL!$A$4:$A$51,D17,Tabelle_CCNL!$B$4:$B$51,E17))*F17*G17)</f>
        <v>41.61</v>
      </c>
      <c r="I17" s="14">
        <f>IF(C17=0,0,IF(B17&lt;45748,0,IF(B17&lt;45839,SUMIFS(Tabelle_CCNL!$J$4:$J$51,Tabelle_CCNL!$A$4:$A$51,D17,Tabelle_CCNL!$B$4:$B$51,E17)*F17*G17,SUMIFS(Tabelle_CCNL!$K$4:$K$51,Tabelle_CCNL!$A$4:$A$51,D17,Tabelle_CCNL!$B$4:$B$51,E17)*F17*G17)))</f>
        <v>20.223566666666667</v>
      </c>
      <c r="J17" s="14">
        <f t="shared" si="0"/>
        <v>21.386433333333333</v>
      </c>
      <c r="K17" s="14">
        <f>J17*Dashboard!$B$19</f>
        <v>1.8820061333333331</v>
      </c>
      <c r="L17" s="14">
        <f>J17*Dashboard!$B$20</f>
        <v>0.42772866666666665</v>
      </c>
      <c r="M17" s="14">
        <f>J17*Dashboard!$B$21</f>
        <v>7.485251666666666E-2</v>
      </c>
      <c r="N17" s="14">
        <f>K17+L17+M17+J17*IF(Dashboard!$B$22="SI",Dashboard!$B$23,0)</f>
        <v>2.3845873166666665</v>
      </c>
      <c r="O17" s="14">
        <f t="shared" si="1"/>
        <v>19.001846016666665</v>
      </c>
      <c r="P17" s="14">
        <f>Dashboard!$B$18</f>
        <v>0.23</v>
      </c>
      <c r="Q17" s="14">
        <f t="shared" si="2"/>
        <v>4.3704245838333335</v>
      </c>
      <c r="R17" s="14">
        <f t="shared" si="3"/>
        <v>14.631421432833331</v>
      </c>
      <c r="S17" s="15" t="str">
        <f t="shared" si="4"/>
        <v/>
      </c>
      <c r="T17" s="15" t="s">
        <v>70</v>
      </c>
      <c r="U17" s="15">
        <v>2025</v>
      </c>
    </row>
    <row r="18" spans="1:21">
      <c r="A18" s="4" t="s">
        <v>80</v>
      </c>
      <c r="B18" s="10">
        <v>45962</v>
      </c>
      <c r="C18" s="11">
        <f>IF(AND(B18&gt;=Dashboard!$B$8,B18&lt;=EOMONTH(Dashboard!$B$9,0),B18&lt;=EOMONTH(Dashboard!$B$17,0)),1,0)</f>
        <v>1</v>
      </c>
      <c r="D18" s="12" t="str">
        <f>IF(AND(Dashboard!$B$13&lt;&gt;"",B18&gt;=Dashboard!$B$13),Dashboard!$B$14,Dashboard!$B$5)</f>
        <v>Docente Scuola Media</v>
      </c>
      <c r="E18" s="12" t="str">
        <f>IF(AND(Dashboard!$B$11&lt;&gt;"",B18&gt;=Dashboard!$B$11),Dashboard!$B$12,Dashboard!$B$6)</f>
        <v>0-8</v>
      </c>
      <c r="F18" s="13">
        <f>IF(AND(Dashboard!$B$15&lt;&gt;"",B18&gt;=Dashboard!$B$15),Dashboard!$B$16,Dashboard!$B$10)</f>
        <v>1</v>
      </c>
      <c r="G18" s="13">
        <v>1</v>
      </c>
      <c r="H18" s="14">
        <f>IF(C18=0,0,IF(YEAR(B18)=2025,SUMIFS(Tabelle_CCNL!$C$4:$C$51,Tabelle_CCNL!$A$4:$A$51,D18,Tabelle_CCNL!$B$4:$B$51,E18),SUMIFS(Tabelle_CCNL!$D$4:$D$51,Tabelle_CCNL!$A$4:$A$51,D18,Tabelle_CCNL!$B$4:$B$51,E18))*F18*G18)</f>
        <v>41.61</v>
      </c>
      <c r="I18" s="14">
        <f>IF(C18=0,0,IF(B18&lt;45748,0,IF(B18&lt;45839,SUMIFS(Tabelle_CCNL!$J$4:$J$51,Tabelle_CCNL!$A$4:$A$51,D18,Tabelle_CCNL!$B$4:$B$51,E18)*F18*G18,SUMIFS(Tabelle_CCNL!$K$4:$K$51,Tabelle_CCNL!$A$4:$A$51,D18,Tabelle_CCNL!$B$4:$B$51,E18)*F18*G18)))</f>
        <v>20.223566666666667</v>
      </c>
      <c r="J18" s="14">
        <f t="shared" si="0"/>
        <v>21.386433333333333</v>
      </c>
      <c r="K18" s="14">
        <f>J18*Dashboard!$B$19</f>
        <v>1.8820061333333331</v>
      </c>
      <c r="L18" s="14">
        <f>J18*Dashboard!$B$20</f>
        <v>0.42772866666666665</v>
      </c>
      <c r="M18" s="14">
        <f>J18*Dashboard!$B$21</f>
        <v>7.485251666666666E-2</v>
      </c>
      <c r="N18" s="14">
        <f>K18+L18+M18+J18*IF(Dashboard!$B$22="SI",Dashboard!$B$23,0)</f>
        <v>2.3845873166666665</v>
      </c>
      <c r="O18" s="14">
        <f t="shared" si="1"/>
        <v>19.001846016666665</v>
      </c>
      <c r="P18" s="14">
        <f>Dashboard!$B$18</f>
        <v>0.23</v>
      </c>
      <c r="Q18" s="14">
        <f t="shared" si="2"/>
        <v>4.3704245838333335</v>
      </c>
      <c r="R18" s="14">
        <f t="shared" si="3"/>
        <v>14.631421432833331</v>
      </c>
      <c r="S18" s="15" t="str">
        <f t="shared" si="4"/>
        <v/>
      </c>
      <c r="T18" s="15" t="s">
        <v>70</v>
      </c>
      <c r="U18" s="15">
        <v>2025</v>
      </c>
    </row>
    <row r="19" spans="1:21">
      <c r="A19" s="4" t="s">
        <v>81</v>
      </c>
      <c r="B19" s="10">
        <v>45992</v>
      </c>
      <c r="C19" s="11">
        <f>IF(AND(B19&gt;=Dashboard!$B$8,B19&lt;=EOMONTH(Dashboard!$B$9,0),B19&lt;=EOMONTH(Dashboard!$B$17,0)),1,0)</f>
        <v>1</v>
      </c>
      <c r="D19" s="12" t="str">
        <f>IF(AND(Dashboard!$B$13&lt;&gt;"",B19&gt;=Dashboard!$B$13),Dashboard!$B$14,Dashboard!$B$5)</f>
        <v>Docente Scuola Media</v>
      </c>
      <c r="E19" s="12" t="str">
        <f>IF(AND(Dashboard!$B$11&lt;&gt;"",B19&gt;=Dashboard!$B$11),Dashboard!$B$12,Dashboard!$B$6)</f>
        <v>0-8</v>
      </c>
      <c r="F19" s="13">
        <f>IF(AND(Dashboard!$B$15&lt;&gt;"",B19&gt;=Dashboard!$B$15),Dashboard!$B$16,Dashboard!$B$10)</f>
        <v>1</v>
      </c>
      <c r="G19" s="13">
        <v>1</v>
      </c>
      <c r="H19" s="14">
        <f>IF(C19=0,0,IF(YEAR(B19)=2025,SUMIFS(Tabelle_CCNL!$C$4:$C$51,Tabelle_CCNL!$A$4:$A$51,D19,Tabelle_CCNL!$B$4:$B$51,E19),SUMIFS(Tabelle_CCNL!$D$4:$D$51,Tabelle_CCNL!$A$4:$A$51,D19,Tabelle_CCNL!$B$4:$B$51,E19))*F19*G19)</f>
        <v>41.61</v>
      </c>
      <c r="I19" s="14">
        <f>IF(C19=0,0,IF(B19&lt;45748,0,IF(B19&lt;45839,SUMIFS(Tabelle_CCNL!$J$4:$J$51,Tabelle_CCNL!$A$4:$A$51,D19,Tabelle_CCNL!$B$4:$B$51,E19)*F19*G19,SUMIFS(Tabelle_CCNL!$K$4:$K$51,Tabelle_CCNL!$A$4:$A$51,D19,Tabelle_CCNL!$B$4:$B$51,E19)*F19*G19)))</f>
        <v>20.223566666666667</v>
      </c>
      <c r="J19" s="14">
        <f t="shared" si="0"/>
        <v>21.386433333333333</v>
      </c>
      <c r="K19" s="14">
        <f>J19*Dashboard!$B$19</f>
        <v>1.8820061333333331</v>
      </c>
      <c r="L19" s="14">
        <f>J19*Dashboard!$B$20</f>
        <v>0.42772866666666665</v>
      </c>
      <c r="M19" s="14">
        <f>J19*Dashboard!$B$21</f>
        <v>7.485251666666666E-2</v>
      </c>
      <c r="N19" s="14">
        <f>K19+L19+M19+J19*IF(Dashboard!$B$22="SI",Dashboard!$B$23,0)</f>
        <v>2.3845873166666665</v>
      </c>
      <c r="O19" s="14">
        <f t="shared" si="1"/>
        <v>19.001846016666665</v>
      </c>
      <c r="P19" s="14">
        <f>Dashboard!$B$18</f>
        <v>0.23</v>
      </c>
      <c r="Q19" s="14">
        <f t="shared" si="2"/>
        <v>4.3704245838333335</v>
      </c>
      <c r="R19" s="14">
        <f t="shared" si="3"/>
        <v>14.631421432833331</v>
      </c>
      <c r="S19" s="15" t="str">
        <f t="shared" si="4"/>
        <v/>
      </c>
      <c r="T19" s="15" t="s">
        <v>70</v>
      </c>
      <c r="U19" s="15">
        <v>2025</v>
      </c>
    </row>
    <row r="20" spans="1:21">
      <c r="A20" s="4" t="s">
        <v>82</v>
      </c>
      <c r="B20" s="10">
        <v>46022</v>
      </c>
      <c r="C20" s="11">
        <f>IF(SUM(C8:C19)&gt;0,1,0)</f>
        <v>1</v>
      </c>
      <c r="D20" s="12" t="s">
        <v>83</v>
      </c>
      <c r="E20" s="12" t="s">
        <v>84</v>
      </c>
      <c r="F20" s="13">
        <v>1</v>
      </c>
      <c r="G20" s="13">
        <f>SUMPRODUCT(C8:C19,F8:F19,G8:G19)/12</f>
        <v>1</v>
      </c>
      <c r="H20" s="14">
        <f>SUM(H8:H19)/12</f>
        <v>41.610000000000007</v>
      </c>
      <c r="I20" s="14">
        <v>0</v>
      </c>
      <c r="J20" s="14">
        <f t="shared" si="0"/>
        <v>41.610000000000007</v>
      </c>
      <c r="K20" s="14">
        <f>J20*Dashboard!$B$19</f>
        <v>3.6616800000000005</v>
      </c>
      <c r="L20" s="14">
        <f>J20*Dashboard!$B$20</f>
        <v>0.83220000000000016</v>
      </c>
      <c r="M20" s="14">
        <f>J20*Dashboard!$B$21</f>
        <v>0.14563500000000001</v>
      </c>
      <c r="N20" s="14">
        <f>K20+L20+M20+J20*IF(Dashboard!$B$22="SI",Dashboard!$B$23,0)</f>
        <v>4.6395150000000012</v>
      </c>
      <c r="O20" s="14">
        <f t="shared" si="1"/>
        <v>36.970485000000004</v>
      </c>
      <c r="P20" s="14">
        <f>Dashboard!$B$18</f>
        <v>0.23</v>
      </c>
      <c r="Q20" s="14">
        <f t="shared" si="2"/>
        <v>8.5032115500000014</v>
      </c>
      <c r="R20" s="14">
        <f t="shared" si="3"/>
        <v>28.46727345</v>
      </c>
      <c r="S20" s="15" t="str">
        <f t="shared" si="4"/>
        <v>13a pro-rata, IVC non detratta</v>
      </c>
      <c r="T20" s="15" t="s">
        <v>85</v>
      </c>
      <c r="U20" s="15">
        <v>2025</v>
      </c>
    </row>
    <row r="21" spans="1:21">
      <c r="A21" s="4" t="s">
        <v>86</v>
      </c>
      <c r="B21" s="10">
        <v>46023</v>
      </c>
      <c r="C21" s="11">
        <f>IF(AND(B21&gt;=Dashboard!$B$8,B21&lt;=EOMONTH(Dashboard!$B$9,0),B21&lt;=EOMONTH(Dashboard!$B$17,0)),1,0)</f>
        <v>1</v>
      </c>
      <c r="D21" s="12" t="str">
        <f>IF(AND(Dashboard!$B$13&lt;&gt;"",B21&gt;=Dashboard!$B$13),Dashboard!$B$14,Dashboard!$B$5)</f>
        <v>Docente Scuola Media</v>
      </c>
      <c r="E21" s="12" t="str">
        <f>IF(AND(Dashboard!$B$11&lt;&gt;"",B21&gt;=Dashboard!$B$11),Dashboard!$B$12,Dashboard!$B$6)</f>
        <v>0-8</v>
      </c>
      <c r="F21" s="13">
        <f>IF(AND(Dashboard!$B$15&lt;&gt;"",B21&gt;=Dashboard!$B$15),Dashboard!$B$16,Dashboard!$B$10)</f>
        <v>1</v>
      </c>
      <c r="G21" s="13">
        <v>1</v>
      </c>
      <c r="H21" s="14">
        <f>IF(C21=0,0,IF(YEAR(B21)=2025,SUMIFS(Tabelle_CCNL!$C$4:$C$51,Tabelle_CCNL!$A$4:$A$51,D21,Tabelle_CCNL!$B$4:$B$51,E21),SUMIFS(Tabelle_CCNL!$D$4:$D$51,Tabelle_CCNL!$A$4:$A$51,D21,Tabelle_CCNL!$B$4:$B$51,E21))*F21*G21)</f>
        <v>83.23</v>
      </c>
      <c r="I21" s="14">
        <f>IF(C21=0,0,IF(B21&lt;45748,0,IF(B21&lt;45839,SUMIFS(Tabelle_CCNL!$J$4:$J$51,Tabelle_CCNL!$A$4:$A$51,D21,Tabelle_CCNL!$B$4:$B$51,E21)*F21*G21,SUMIFS(Tabelle_CCNL!$K$4:$K$51,Tabelle_CCNL!$A$4:$A$51,D21,Tabelle_CCNL!$B$4:$B$51,E21)*F21*G21)))</f>
        <v>20.223566666666667</v>
      </c>
      <c r="J21" s="14">
        <f t="shared" si="0"/>
        <v>63.006433333333334</v>
      </c>
      <c r="K21" s="14">
        <f>J21*Dashboard!$B$19</f>
        <v>5.5445661333333334</v>
      </c>
      <c r="L21" s="14">
        <f>J21*Dashboard!$B$20</f>
        <v>1.2601286666666667</v>
      </c>
      <c r="M21" s="14">
        <f>J21*Dashboard!$B$21</f>
        <v>0.22052251666666667</v>
      </c>
      <c r="N21" s="14">
        <f>K21+L21+M21+J21*IF(Dashboard!$B$22="SI",Dashboard!$B$23,0)</f>
        <v>7.0252173166666667</v>
      </c>
      <c r="O21" s="14">
        <f t="shared" si="1"/>
        <v>55.981216016666664</v>
      </c>
      <c r="P21" s="14">
        <f>Dashboard!$B$18</f>
        <v>0.23</v>
      </c>
      <c r="Q21" s="14">
        <f t="shared" si="2"/>
        <v>12.875679683833333</v>
      </c>
      <c r="R21" s="14">
        <f t="shared" si="3"/>
        <v>43.105536332833331</v>
      </c>
      <c r="S21" s="15" t="str">
        <f t="shared" si="4"/>
        <v/>
      </c>
      <c r="T21" s="15" t="s">
        <v>70</v>
      </c>
      <c r="U21" s="15">
        <v>2026</v>
      </c>
    </row>
    <row r="22" spans="1:21">
      <c r="A22" s="4" t="s">
        <v>87</v>
      </c>
      <c r="B22" s="10">
        <v>46054</v>
      </c>
      <c r="C22" s="11">
        <f>IF(AND(B22&gt;=Dashboard!$B$8,B22&lt;=EOMONTH(Dashboard!$B$9,0),B22&lt;=EOMONTH(Dashboard!$B$17,0)),1,0)</f>
        <v>1</v>
      </c>
      <c r="D22" s="12" t="str">
        <f>IF(AND(Dashboard!$B$13&lt;&gt;"",B22&gt;=Dashboard!$B$13),Dashboard!$B$14,Dashboard!$B$5)</f>
        <v>Docente Scuola Media</v>
      </c>
      <c r="E22" s="12" t="str">
        <f>IF(AND(Dashboard!$B$11&lt;&gt;"",B22&gt;=Dashboard!$B$11),Dashboard!$B$12,Dashboard!$B$6)</f>
        <v>0-8</v>
      </c>
      <c r="F22" s="13">
        <f>IF(AND(Dashboard!$B$15&lt;&gt;"",B22&gt;=Dashboard!$B$15),Dashboard!$B$16,Dashboard!$B$10)</f>
        <v>1</v>
      </c>
      <c r="G22" s="13">
        <v>1</v>
      </c>
      <c r="H22" s="14">
        <f>IF(C22=0,0,IF(YEAR(B22)=2025,SUMIFS(Tabelle_CCNL!$C$4:$C$51,Tabelle_CCNL!$A$4:$A$51,D22,Tabelle_CCNL!$B$4:$B$51,E22),SUMIFS(Tabelle_CCNL!$D$4:$D$51,Tabelle_CCNL!$A$4:$A$51,D22,Tabelle_CCNL!$B$4:$B$51,E22))*F22*G22)</f>
        <v>83.23</v>
      </c>
      <c r="I22" s="14">
        <f>IF(C22=0,0,IF(B22&lt;45748,0,IF(B22&lt;45839,SUMIFS(Tabelle_CCNL!$J$4:$J$51,Tabelle_CCNL!$A$4:$A$51,D22,Tabelle_CCNL!$B$4:$B$51,E22)*F22*G22,SUMIFS(Tabelle_CCNL!$K$4:$K$51,Tabelle_CCNL!$A$4:$A$51,D22,Tabelle_CCNL!$B$4:$B$51,E22)*F22*G22)))</f>
        <v>20.223566666666667</v>
      </c>
      <c r="J22" s="14">
        <f t="shared" si="0"/>
        <v>63.006433333333334</v>
      </c>
      <c r="K22" s="14">
        <f>J22*Dashboard!$B$19</f>
        <v>5.5445661333333334</v>
      </c>
      <c r="L22" s="14">
        <f>J22*Dashboard!$B$20</f>
        <v>1.2601286666666667</v>
      </c>
      <c r="M22" s="14">
        <f>J22*Dashboard!$B$21</f>
        <v>0.22052251666666667</v>
      </c>
      <c r="N22" s="14">
        <f>K22+L22+M22+J22*IF(Dashboard!$B$22="SI",Dashboard!$B$23,0)</f>
        <v>7.0252173166666667</v>
      </c>
      <c r="O22" s="14">
        <f t="shared" si="1"/>
        <v>55.981216016666664</v>
      </c>
      <c r="P22" s="14">
        <f>Dashboard!$B$18</f>
        <v>0.23</v>
      </c>
      <c r="Q22" s="14">
        <f t="shared" si="2"/>
        <v>12.875679683833333</v>
      </c>
      <c r="R22" s="14">
        <f t="shared" si="3"/>
        <v>43.105536332833331</v>
      </c>
      <c r="S22" s="15" t="str">
        <f t="shared" si="4"/>
        <v/>
      </c>
      <c r="T22" s="15" t="s">
        <v>70</v>
      </c>
      <c r="U22" s="15">
        <v>2026</v>
      </c>
    </row>
    <row r="23" spans="1:21">
      <c r="A23" s="4" t="s">
        <v>88</v>
      </c>
      <c r="B23" s="10">
        <v>46082</v>
      </c>
      <c r="C23" s="11">
        <f>IF(AND(B23&gt;=Dashboard!$B$8,B23&lt;=EOMONTH(Dashboard!$B$9,0),B23&lt;=EOMONTH(Dashboard!$B$17,0)),1,0)</f>
        <v>1</v>
      </c>
      <c r="D23" s="12" t="str">
        <f>IF(AND(Dashboard!$B$13&lt;&gt;"",B23&gt;=Dashboard!$B$13),Dashboard!$B$14,Dashboard!$B$5)</f>
        <v>Docente Scuola Media</v>
      </c>
      <c r="E23" s="12" t="str">
        <f>IF(AND(Dashboard!$B$11&lt;&gt;"",B23&gt;=Dashboard!$B$11),Dashboard!$B$12,Dashboard!$B$6)</f>
        <v>0-8</v>
      </c>
      <c r="F23" s="13">
        <f>IF(AND(Dashboard!$B$15&lt;&gt;"",B23&gt;=Dashboard!$B$15),Dashboard!$B$16,Dashboard!$B$10)</f>
        <v>1</v>
      </c>
      <c r="G23" s="13">
        <v>1</v>
      </c>
      <c r="H23" s="14">
        <f>IF(C23=0,0,IF(YEAR(B23)=2025,SUMIFS(Tabelle_CCNL!$C$4:$C$51,Tabelle_CCNL!$A$4:$A$51,D23,Tabelle_CCNL!$B$4:$B$51,E23),SUMIFS(Tabelle_CCNL!$D$4:$D$51,Tabelle_CCNL!$A$4:$A$51,D23,Tabelle_CCNL!$B$4:$B$51,E23))*F23*G23)</f>
        <v>83.23</v>
      </c>
      <c r="I23" s="14">
        <f>IF(C23=0,0,IF(B23&lt;45748,0,IF(B23&lt;45839,SUMIFS(Tabelle_CCNL!$J$4:$J$51,Tabelle_CCNL!$A$4:$A$51,D23,Tabelle_CCNL!$B$4:$B$51,E23)*F23*G23,SUMIFS(Tabelle_CCNL!$K$4:$K$51,Tabelle_CCNL!$A$4:$A$51,D23,Tabelle_CCNL!$B$4:$B$51,E23)*F23*G23)))</f>
        <v>20.223566666666667</v>
      </c>
      <c r="J23" s="14">
        <f t="shared" si="0"/>
        <v>63.006433333333334</v>
      </c>
      <c r="K23" s="14">
        <f>J23*Dashboard!$B$19</f>
        <v>5.5445661333333334</v>
      </c>
      <c r="L23" s="14">
        <f>J23*Dashboard!$B$20</f>
        <v>1.2601286666666667</v>
      </c>
      <c r="M23" s="14">
        <f>J23*Dashboard!$B$21</f>
        <v>0.22052251666666667</v>
      </c>
      <c r="N23" s="14">
        <f>K23+L23+M23+J23*IF(Dashboard!$B$22="SI",Dashboard!$B$23,0)</f>
        <v>7.0252173166666667</v>
      </c>
      <c r="O23" s="14">
        <f t="shared" si="1"/>
        <v>55.981216016666664</v>
      </c>
      <c r="P23" s="14">
        <f>Dashboard!$B$18</f>
        <v>0.23</v>
      </c>
      <c r="Q23" s="14">
        <f t="shared" si="2"/>
        <v>12.875679683833333</v>
      </c>
      <c r="R23" s="14">
        <f t="shared" si="3"/>
        <v>43.105536332833331</v>
      </c>
      <c r="S23" s="15" t="str">
        <f t="shared" si="4"/>
        <v/>
      </c>
      <c r="T23" s="15" t="s">
        <v>70</v>
      </c>
      <c r="U23" s="15">
        <v>2026</v>
      </c>
    </row>
    <row r="24" spans="1:21">
      <c r="A24" s="4" t="s">
        <v>89</v>
      </c>
      <c r="B24" s="10">
        <v>46113</v>
      </c>
      <c r="C24" s="11">
        <f>IF(AND(B24&gt;=Dashboard!$B$8,B24&lt;=EOMONTH(Dashboard!$B$9,0),B24&lt;=EOMONTH(Dashboard!$B$17,0)),1,0)</f>
        <v>1</v>
      </c>
      <c r="D24" s="12" t="str">
        <f>IF(AND(Dashboard!$B$13&lt;&gt;"",B24&gt;=Dashboard!$B$13),Dashboard!$B$14,Dashboard!$B$5)</f>
        <v>Docente Scuola Media</v>
      </c>
      <c r="E24" s="12" t="str">
        <f>IF(AND(Dashboard!$B$11&lt;&gt;"",B24&gt;=Dashboard!$B$11),Dashboard!$B$12,Dashboard!$B$6)</f>
        <v>0-8</v>
      </c>
      <c r="F24" s="13">
        <f>IF(AND(Dashboard!$B$15&lt;&gt;"",B24&gt;=Dashboard!$B$15),Dashboard!$B$16,Dashboard!$B$10)</f>
        <v>1</v>
      </c>
      <c r="G24" s="13">
        <v>1</v>
      </c>
      <c r="H24" s="14">
        <f>IF(C24=0,0,IF(YEAR(B24)=2025,SUMIFS(Tabelle_CCNL!$C$4:$C$51,Tabelle_CCNL!$A$4:$A$51,D24,Tabelle_CCNL!$B$4:$B$51,E24),SUMIFS(Tabelle_CCNL!$D$4:$D$51,Tabelle_CCNL!$A$4:$A$51,D24,Tabelle_CCNL!$B$4:$B$51,E24))*F24*G24)</f>
        <v>83.23</v>
      </c>
      <c r="I24" s="14">
        <f>IF(C24=0,0,IF(B24&lt;45748,0,IF(B24&lt;45839,SUMIFS(Tabelle_CCNL!$J$4:$J$51,Tabelle_CCNL!$A$4:$A$51,D24,Tabelle_CCNL!$B$4:$B$51,E24)*F24*G24,SUMIFS(Tabelle_CCNL!$K$4:$K$51,Tabelle_CCNL!$A$4:$A$51,D24,Tabelle_CCNL!$B$4:$B$51,E24)*F24*G24)))</f>
        <v>20.223566666666667</v>
      </c>
      <c r="J24" s="14">
        <f t="shared" si="0"/>
        <v>63.006433333333334</v>
      </c>
      <c r="K24" s="14">
        <f>J24*Dashboard!$B$19</f>
        <v>5.5445661333333334</v>
      </c>
      <c r="L24" s="14">
        <f>J24*Dashboard!$B$20</f>
        <v>1.2601286666666667</v>
      </c>
      <c r="M24" s="14">
        <f>J24*Dashboard!$B$21</f>
        <v>0.22052251666666667</v>
      </c>
      <c r="N24" s="14">
        <f>K24+L24+M24+J24*IF(Dashboard!$B$22="SI",Dashboard!$B$23,0)</f>
        <v>7.0252173166666667</v>
      </c>
      <c r="O24" s="14">
        <f t="shared" si="1"/>
        <v>55.981216016666664</v>
      </c>
      <c r="P24" s="14">
        <f>Dashboard!$B$18</f>
        <v>0.23</v>
      </c>
      <c r="Q24" s="14">
        <f t="shared" si="2"/>
        <v>12.875679683833333</v>
      </c>
      <c r="R24" s="14">
        <f t="shared" si="3"/>
        <v>43.105536332833331</v>
      </c>
      <c r="S24" s="15" t="str">
        <f t="shared" si="4"/>
        <v/>
      </c>
      <c r="T24" s="15" t="s">
        <v>70</v>
      </c>
      <c r="U24" s="15">
        <v>2026</v>
      </c>
    </row>
    <row r="25" spans="1:21">
      <c r="A25" s="4" t="s">
        <v>90</v>
      </c>
      <c r="B25" s="10">
        <v>46143</v>
      </c>
      <c r="C25" s="11">
        <f>IF(AND(B25&gt;=Dashboard!$B$8,B25&lt;=EOMONTH(Dashboard!$B$9,0),B25&lt;=EOMONTH(Dashboard!$B$17,0)),1,0)</f>
        <v>1</v>
      </c>
      <c r="D25" s="12" t="str">
        <f>IF(AND(Dashboard!$B$13&lt;&gt;"",B25&gt;=Dashboard!$B$13),Dashboard!$B$14,Dashboard!$B$5)</f>
        <v>Docente Scuola Media</v>
      </c>
      <c r="E25" s="12" t="str">
        <f>IF(AND(Dashboard!$B$11&lt;&gt;"",B25&gt;=Dashboard!$B$11),Dashboard!$B$12,Dashboard!$B$6)</f>
        <v>0-8</v>
      </c>
      <c r="F25" s="13">
        <f>IF(AND(Dashboard!$B$15&lt;&gt;"",B25&gt;=Dashboard!$B$15),Dashboard!$B$16,Dashboard!$B$10)</f>
        <v>1</v>
      </c>
      <c r="G25" s="13">
        <v>1</v>
      </c>
      <c r="H25" s="14">
        <f>IF(C25=0,0,IF(YEAR(B25)=2025,SUMIFS(Tabelle_CCNL!$C$4:$C$51,Tabelle_CCNL!$A$4:$A$51,D25,Tabelle_CCNL!$B$4:$B$51,E25),SUMIFS(Tabelle_CCNL!$D$4:$D$51,Tabelle_CCNL!$A$4:$A$51,D25,Tabelle_CCNL!$B$4:$B$51,E25))*F25*G25)</f>
        <v>83.23</v>
      </c>
      <c r="I25" s="14">
        <f>IF(C25=0,0,IF(B25&lt;45748,0,IF(B25&lt;45839,SUMIFS(Tabelle_CCNL!$J$4:$J$51,Tabelle_CCNL!$A$4:$A$51,D25,Tabelle_CCNL!$B$4:$B$51,E25)*F25*G25,SUMIFS(Tabelle_CCNL!$K$4:$K$51,Tabelle_CCNL!$A$4:$A$51,D25,Tabelle_CCNL!$B$4:$B$51,E25)*F25*G25)))</f>
        <v>20.223566666666667</v>
      </c>
      <c r="J25" s="14">
        <f t="shared" si="0"/>
        <v>63.006433333333334</v>
      </c>
      <c r="K25" s="14">
        <f>J25*Dashboard!$B$19</f>
        <v>5.5445661333333334</v>
      </c>
      <c r="L25" s="14">
        <f>J25*Dashboard!$B$20</f>
        <v>1.2601286666666667</v>
      </c>
      <c r="M25" s="14">
        <f>J25*Dashboard!$B$21</f>
        <v>0.22052251666666667</v>
      </c>
      <c r="N25" s="14">
        <f>K25+L25+M25+J25*IF(Dashboard!$B$22="SI",Dashboard!$B$23,0)</f>
        <v>7.0252173166666667</v>
      </c>
      <c r="O25" s="14">
        <f t="shared" si="1"/>
        <v>55.981216016666664</v>
      </c>
      <c r="P25" s="14">
        <f>Dashboard!$B$18</f>
        <v>0.23</v>
      </c>
      <c r="Q25" s="14">
        <f t="shared" si="2"/>
        <v>12.875679683833333</v>
      </c>
      <c r="R25" s="14">
        <f t="shared" si="3"/>
        <v>43.105536332833331</v>
      </c>
      <c r="S25" s="15" t="str">
        <f t="shared" si="4"/>
        <v/>
      </c>
      <c r="T25" s="15" t="s">
        <v>70</v>
      </c>
      <c r="U25" s="15">
        <v>2026</v>
      </c>
    </row>
    <row r="26" spans="1:21">
      <c r="A26" s="4" t="s">
        <v>91</v>
      </c>
      <c r="B26" s="10">
        <v>46174</v>
      </c>
      <c r="C26" s="11">
        <f>IF(AND(B26&gt;=Dashboard!$B$8,B26&lt;=EOMONTH(Dashboard!$B$9,0),B26&lt;=EOMONTH(Dashboard!$B$17,0)),1,0)</f>
        <v>1</v>
      </c>
      <c r="D26" s="12" t="str">
        <f>IF(AND(Dashboard!$B$13&lt;&gt;"",B26&gt;=Dashboard!$B$13),Dashboard!$B$14,Dashboard!$B$5)</f>
        <v>Docente Scuola Media</v>
      </c>
      <c r="E26" s="12" t="str">
        <f>IF(AND(Dashboard!$B$11&lt;&gt;"",B26&gt;=Dashboard!$B$11),Dashboard!$B$12,Dashboard!$B$6)</f>
        <v>0-8</v>
      </c>
      <c r="F26" s="13">
        <f>IF(AND(Dashboard!$B$15&lt;&gt;"",B26&gt;=Dashboard!$B$15),Dashboard!$B$16,Dashboard!$B$10)</f>
        <v>1</v>
      </c>
      <c r="G26" s="13">
        <v>1</v>
      </c>
      <c r="H26" s="14">
        <f>IF(C26=0,0,IF(YEAR(B26)=2025,SUMIFS(Tabelle_CCNL!$C$4:$C$51,Tabelle_CCNL!$A$4:$A$51,D26,Tabelle_CCNL!$B$4:$B$51,E26),SUMIFS(Tabelle_CCNL!$D$4:$D$51,Tabelle_CCNL!$A$4:$A$51,D26,Tabelle_CCNL!$B$4:$B$51,E26))*F26*G26)</f>
        <v>83.23</v>
      </c>
      <c r="I26" s="14">
        <f>IF(C26=0,0,IF(B26&lt;45748,0,IF(B26&lt;45839,SUMIFS(Tabelle_CCNL!$J$4:$J$51,Tabelle_CCNL!$A$4:$A$51,D26,Tabelle_CCNL!$B$4:$B$51,E26)*F26*G26,SUMIFS(Tabelle_CCNL!$K$4:$K$51,Tabelle_CCNL!$A$4:$A$51,D26,Tabelle_CCNL!$B$4:$B$51,E26)*F26*G26)))</f>
        <v>20.223566666666667</v>
      </c>
      <c r="J26" s="14">
        <f t="shared" si="0"/>
        <v>63.006433333333334</v>
      </c>
      <c r="K26" s="14">
        <f>J26*Dashboard!$B$19</f>
        <v>5.5445661333333334</v>
      </c>
      <c r="L26" s="14">
        <f>J26*Dashboard!$B$20</f>
        <v>1.2601286666666667</v>
      </c>
      <c r="M26" s="14">
        <f>J26*Dashboard!$B$21</f>
        <v>0.22052251666666667</v>
      </c>
      <c r="N26" s="14">
        <f>K26+L26+M26+J26*IF(Dashboard!$B$22="SI",Dashboard!$B$23,0)</f>
        <v>7.0252173166666667</v>
      </c>
      <c r="O26" s="14">
        <f t="shared" si="1"/>
        <v>55.981216016666664</v>
      </c>
      <c r="P26" s="14">
        <f>Dashboard!$B$18</f>
        <v>0.23</v>
      </c>
      <c r="Q26" s="14">
        <f t="shared" si="2"/>
        <v>12.875679683833333</v>
      </c>
      <c r="R26" s="14">
        <f t="shared" si="3"/>
        <v>43.105536332833331</v>
      </c>
      <c r="S26" s="15" t="str">
        <f t="shared" si="4"/>
        <v/>
      </c>
      <c r="T26" s="15" t="s">
        <v>70</v>
      </c>
      <c r="U26" s="15">
        <v>2026</v>
      </c>
    </row>
    <row r="27" spans="1:21">
      <c r="A27" s="4" t="s">
        <v>92</v>
      </c>
      <c r="B27" s="10">
        <v>46204</v>
      </c>
      <c r="C27" s="11">
        <f>IF(AND(B27&gt;=Dashboard!$B$8,B27&lt;=EOMONTH(Dashboard!$B$9,0),B27&lt;=EOMONTH(Dashboard!$B$17,0)),1,0)</f>
        <v>1</v>
      </c>
      <c r="D27" s="12" t="str">
        <f>IF(AND(Dashboard!$B$13&lt;&gt;"",B27&gt;=Dashboard!$B$13),Dashboard!$B$14,Dashboard!$B$5)</f>
        <v>Docente Scuola Media</v>
      </c>
      <c r="E27" s="12" t="str">
        <f>IF(AND(Dashboard!$B$11&lt;&gt;"",B27&gt;=Dashboard!$B$11),Dashboard!$B$12,Dashboard!$B$6)</f>
        <v>0-8</v>
      </c>
      <c r="F27" s="13">
        <f>IF(AND(Dashboard!$B$15&lt;&gt;"",B27&gt;=Dashboard!$B$15),Dashboard!$B$16,Dashboard!$B$10)</f>
        <v>1</v>
      </c>
      <c r="G27" s="13">
        <v>1</v>
      </c>
      <c r="H27" s="14">
        <f>IF(C27=0,0,IF(YEAR(B27)=2025,SUMIFS(Tabelle_CCNL!$C$4:$C$51,Tabelle_CCNL!$A$4:$A$51,D27,Tabelle_CCNL!$B$4:$B$51,E27),SUMIFS(Tabelle_CCNL!$D$4:$D$51,Tabelle_CCNL!$A$4:$A$51,D27,Tabelle_CCNL!$B$4:$B$51,E27))*F27*G27)</f>
        <v>83.23</v>
      </c>
      <c r="I27" s="14">
        <f>IF(C27=0,0,IF(B27&lt;45748,0,IF(B27&lt;45839,SUMIFS(Tabelle_CCNL!$J$4:$J$51,Tabelle_CCNL!$A$4:$A$51,D27,Tabelle_CCNL!$B$4:$B$51,E27)*F27*G27,SUMIFS(Tabelle_CCNL!$K$4:$K$51,Tabelle_CCNL!$A$4:$A$51,D27,Tabelle_CCNL!$B$4:$B$51,E27)*F27*G27)))</f>
        <v>20.223566666666667</v>
      </c>
      <c r="J27" s="14">
        <f t="shared" si="0"/>
        <v>63.006433333333334</v>
      </c>
      <c r="K27" s="14">
        <f>J27*Dashboard!$B$19</f>
        <v>5.5445661333333334</v>
      </c>
      <c r="L27" s="14">
        <f>J27*Dashboard!$B$20</f>
        <v>1.2601286666666667</v>
      </c>
      <c r="M27" s="14">
        <f>J27*Dashboard!$B$21</f>
        <v>0.22052251666666667</v>
      </c>
      <c r="N27" s="14">
        <f>K27+L27+M27+J27*IF(Dashboard!$B$22="SI",Dashboard!$B$23,0)</f>
        <v>7.0252173166666667</v>
      </c>
      <c r="O27" s="14">
        <f t="shared" si="1"/>
        <v>55.981216016666664</v>
      </c>
      <c r="P27" s="14">
        <f>Dashboard!$B$18</f>
        <v>0.23</v>
      </c>
      <c r="Q27" s="14">
        <f t="shared" si="2"/>
        <v>12.875679683833333</v>
      </c>
      <c r="R27" s="14">
        <f t="shared" si="3"/>
        <v>43.105536332833331</v>
      </c>
      <c r="S27" s="15" t="str">
        <f t="shared" si="4"/>
        <v/>
      </c>
      <c r="T27" s="15" t="s">
        <v>70</v>
      </c>
      <c r="U27" s="15">
        <v>2026</v>
      </c>
    </row>
    <row r="28" spans="1:21">
      <c r="A28" s="4" t="s">
        <v>93</v>
      </c>
      <c r="B28" s="10">
        <v>46235</v>
      </c>
      <c r="C28" s="11">
        <f>IF(AND(B28&gt;=Dashboard!$B$8,B28&lt;=EOMONTH(Dashboard!$B$9,0),B28&lt;=EOMONTH(Dashboard!$B$17,0)),1,0)</f>
        <v>0</v>
      </c>
      <c r="D28" s="12" t="str">
        <f>IF(AND(Dashboard!$B$13&lt;&gt;"",B28&gt;=Dashboard!$B$13),Dashboard!$B$14,Dashboard!$B$5)</f>
        <v>Docente Scuola Media</v>
      </c>
      <c r="E28" s="12" t="str">
        <f>IF(AND(Dashboard!$B$11&lt;&gt;"",B28&gt;=Dashboard!$B$11),Dashboard!$B$12,Dashboard!$B$6)</f>
        <v>0-8</v>
      </c>
      <c r="F28" s="13">
        <f>IF(AND(Dashboard!$B$15&lt;&gt;"",B28&gt;=Dashboard!$B$15),Dashboard!$B$16,Dashboard!$B$10)</f>
        <v>1</v>
      </c>
      <c r="G28" s="13">
        <v>1</v>
      </c>
      <c r="H28" s="14">
        <f>IF(C28=0,0,IF(YEAR(B28)=2025,SUMIFS(Tabelle_CCNL!$C$4:$C$51,Tabelle_CCNL!$A$4:$A$51,D28,Tabelle_CCNL!$B$4:$B$51,E28),SUMIFS(Tabelle_CCNL!$D$4:$D$51,Tabelle_CCNL!$A$4:$A$51,D28,Tabelle_CCNL!$B$4:$B$51,E28))*F28*G28)</f>
        <v>0</v>
      </c>
      <c r="I28" s="14">
        <f>IF(C28=0,0,IF(B28&lt;45748,0,IF(B28&lt;45839,SUMIFS(Tabelle_CCNL!$J$4:$J$51,Tabelle_CCNL!$A$4:$A$51,D28,Tabelle_CCNL!$B$4:$B$51,E28)*F28*G28,SUMIFS(Tabelle_CCNL!$K$4:$K$51,Tabelle_CCNL!$A$4:$A$51,D28,Tabelle_CCNL!$B$4:$B$51,E28)*F28*G28)))</f>
        <v>0</v>
      </c>
      <c r="J28" s="14">
        <f t="shared" si="0"/>
        <v>0</v>
      </c>
      <c r="K28" s="14">
        <f>J28*Dashboard!$B$19</f>
        <v>0</v>
      </c>
      <c r="L28" s="14">
        <f>J28*Dashboard!$B$20</f>
        <v>0</v>
      </c>
      <c r="M28" s="14">
        <f>J28*Dashboard!$B$21</f>
        <v>0</v>
      </c>
      <c r="N28" s="14">
        <f>K28+L28+M28+J28*IF(Dashboard!$B$22="SI",Dashboard!$B$23,0)</f>
        <v>0</v>
      </c>
      <c r="O28" s="14">
        <f t="shared" si="1"/>
        <v>0</v>
      </c>
      <c r="P28" s="14">
        <f>Dashboard!$B$18</f>
        <v>0.23</v>
      </c>
      <c r="Q28" s="14">
        <f t="shared" si="2"/>
        <v>0</v>
      </c>
      <c r="R28" s="14">
        <f t="shared" si="3"/>
        <v>0</v>
      </c>
      <c r="S28" s="15" t="str">
        <f t="shared" si="4"/>
        <v>Escluso</v>
      </c>
      <c r="T28" s="15" t="s">
        <v>70</v>
      </c>
      <c r="U28" s="15">
        <v>2026</v>
      </c>
    </row>
    <row r="29" spans="1:21">
      <c r="A29" s="4" t="s">
        <v>94</v>
      </c>
      <c r="B29" s="10">
        <v>46266</v>
      </c>
      <c r="C29" s="11">
        <f>IF(AND(B29&gt;=Dashboard!$B$8,B29&lt;=EOMONTH(Dashboard!$B$9,0),B29&lt;=EOMONTH(Dashboard!$B$17,0)),1,0)</f>
        <v>0</v>
      </c>
      <c r="D29" s="12" t="str">
        <f>IF(AND(Dashboard!$B$13&lt;&gt;"",B29&gt;=Dashboard!$B$13),Dashboard!$B$14,Dashboard!$B$5)</f>
        <v>Docente Scuola Media</v>
      </c>
      <c r="E29" s="12" t="str">
        <f>IF(AND(Dashboard!$B$11&lt;&gt;"",B29&gt;=Dashboard!$B$11),Dashboard!$B$12,Dashboard!$B$6)</f>
        <v>0-8</v>
      </c>
      <c r="F29" s="13">
        <f>IF(AND(Dashboard!$B$15&lt;&gt;"",B29&gt;=Dashboard!$B$15),Dashboard!$B$16,Dashboard!$B$10)</f>
        <v>1</v>
      </c>
      <c r="G29" s="13">
        <v>1</v>
      </c>
      <c r="H29" s="14">
        <f>IF(C29=0,0,IF(YEAR(B29)=2025,SUMIFS(Tabelle_CCNL!$C$4:$C$51,Tabelle_CCNL!$A$4:$A$51,D29,Tabelle_CCNL!$B$4:$B$51,E29),SUMIFS(Tabelle_CCNL!$D$4:$D$51,Tabelle_CCNL!$A$4:$A$51,D29,Tabelle_CCNL!$B$4:$B$51,E29))*F29*G29)</f>
        <v>0</v>
      </c>
      <c r="I29" s="14">
        <f>IF(C29=0,0,IF(B29&lt;45748,0,IF(B29&lt;45839,SUMIFS(Tabelle_CCNL!$J$4:$J$51,Tabelle_CCNL!$A$4:$A$51,D29,Tabelle_CCNL!$B$4:$B$51,E29)*F29*G29,SUMIFS(Tabelle_CCNL!$K$4:$K$51,Tabelle_CCNL!$A$4:$A$51,D29,Tabelle_CCNL!$B$4:$B$51,E29)*F29*G29)))</f>
        <v>0</v>
      </c>
      <c r="J29" s="14">
        <f t="shared" si="0"/>
        <v>0</v>
      </c>
      <c r="K29" s="14">
        <f>J29*Dashboard!$B$19</f>
        <v>0</v>
      </c>
      <c r="L29" s="14">
        <f>J29*Dashboard!$B$20</f>
        <v>0</v>
      </c>
      <c r="M29" s="14">
        <f>J29*Dashboard!$B$21</f>
        <v>0</v>
      </c>
      <c r="N29" s="14">
        <f>K29+L29+M29+J29*IF(Dashboard!$B$22="SI",Dashboard!$B$23,0)</f>
        <v>0</v>
      </c>
      <c r="O29" s="14">
        <f t="shared" si="1"/>
        <v>0</v>
      </c>
      <c r="P29" s="14">
        <f>Dashboard!$B$18</f>
        <v>0.23</v>
      </c>
      <c r="Q29" s="14">
        <f t="shared" si="2"/>
        <v>0</v>
      </c>
      <c r="R29" s="14">
        <f t="shared" si="3"/>
        <v>0</v>
      </c>
      <c r="S29" s="15" t="str">
        <f t="shared" si="4"/>
        <v>Escluso</v>
      </c>
      <c r="T29" s="15" t="s">
        <v>70</v>
      </c>
      <c r="U29" s="15">
        <v>2026</v>
      </c>
    </row>
    <row r="30" spans="1:21">
      <c r="A30" s="4" t="s">
        <v>95</v>
      </c>
      <c r="B30" s="10">
        <v>46296</v>
      </c>
      <c r="C30" s="11">
        <f>IF(AND(B30&gt;=Dashboard!$B$8,B30&lt;=EOMONTH(Dashboard!$B$9,0),B30&lt;=EOMONTH(Dashboard!$B$17,0)),1,0)</f>
        <v>0</v>
      </c>
      <c r="D30" s="12" t="str">
        <f>IF(AND(Dashboard!$B$13&lt;&gt;"",B30&gt;=Dashboard!$B$13),Dashboard!$B$14,Dashboard!$B$5)</f>
        <v>Docente Scuola Media</v>
      </c>
      <c r="E30" s="12" t="str">
        <f>IF(AND(Dashboard!$B$11&lt;&gt;"",B30&gt;=Dashboard!$B$11),Dashboard!$B$12,Dashboard!$B$6)</f>
        <v>0-8</v>
      </c>
      <c r="F30" s="13">
        <f>IF(AND(Dashboard!$B$15&lt;&gt;"",B30&gt;=Dashboard!$B$15),Dashboard!$B$16,Dashboard!$B$10)</f>
        <v>1</v>
      </c>
      <c r="G30" s="13">
        <v>1</v>
      </c>
      <c r="H30" s="14">
        <f>IF(C30=0,0,IF(YEAR(B30)=2025,SUMIFS(Tabelle_CCNL!$C$4:$C$51,Tabelle_CCNL!$A$4:$A$51,D30,Tabelle_CCNL!$B$4:$B$51,E30),SUMIFS(Tabelle_CCNL!$D$4:$D$51,Tabelle_CCNL!$A$4:$A$51,D30,Tabelle_CCNL!$B$4:$B$51,E30))*F30*G30)</f>
        <v>0</v>
      </c>
      <c r="I30" s="14">
        <f>IF(C30=0,0,IF(B30&lt;45748,0,IF(B30&lt;45839,SUMIFS(Tabelle_CCNL!$J$4:$J$51,Tabelle_CCNL!$A$4:$A$51,D30,Tabelle_CCNL!$B$4:$B$51,E30)*F30*G30,SUMIFS(Tabelle_CCNL!$K$4:$K$51,Tabelle_CCNL!$A$4:$A$51,D30,Tabelle_CCNL!$B$4:$B$51,E30)*F30*G30)))</f>
        <v>0</v>
      </c>
      <c r="J30" s="14">
        <f t="shared" si="0"/>
        <v>0</v>
      </c>
      <c r="K30" s="14">
        <f>J30*Dashboard!$B$19</f>
        <v>0</v>
      </c>
      <c r="L30" s="14">
        <f>J30*Dashboard!$B$20</f>
        <v>0</v>
      </c>
      <c r="M30" s="14">
        <f>J30*Dashboard!$B$21</f>
        <v>0</v>
      </c>
      <c r="N30" s="14">
        <f>K30+L30+M30+J30*IF(Dashboard!$B$22="SI",Dashboard!$B$23,0)</f>
        <v>0</v>
      </c>
      <c r="O30" s="14">
        <f t="shared" si="1"/>
        <v>0</v>
      </c>
      <c r="P30" s="14">
        <f>Dashboard!$B$18</f>
        <v>0.23</v>
      </c>
      <c r="Q30" s="14">
        <f t="shared" si="2"/>
        <v>0</v>
      </c>
      <c r="R30" s="14">
        <f t="shared" si="3"/>
        <v>0</v>
      </c>
      <c r="S30" s="15" t="str">
        <f t="shared" si="4"/>
        <v>Escluso</v>
      </c>
      <c r="T30" s="15" t="s">
        <v>70</v>
      </c>
      <c r="U30" s="15">
        <v>2026</v>
      </c>
    </row>
    <row r="31" spans="1:21">
      <c r="A31" s="4" t="s">
        <v>96</v>
      </c>
      <c r="B31" s="10">
        <v>46327</v>
      </c>
      <c r="C31" s="11">
        <f>IF(AND(B31&gt;=Dashboard!$B$8,B31&lt;=EOMONTH(Dashboard!$B$9,0),B31&lt;=EOMONTH(Dashboard!$B$17,0)),1,0)</f>
        <v>0</v>
      </c>
      <c r="D31" s="12" t="str">
        <f>IF(AND(Dashboard!$B$13&lt;&gt;"",B31&gt;=Dashboard!$B$13),Dashboard!$B$14,Dashboard!$B$5)</f>
        <v>Docente Scuola Media</v>
      </c>
      <c r="E31" s="12" t="str">
        <f>IF(AND(Dashboard!$B$11&lt;&gt;"",B31&gt;=Dashboard!$B$11),Dashboard!$B$12,Dashboard!$B$6)</f>
        <v>0-8</v>
      </c>
      <c r="F31" s="13">
        <f>IF(AND(Dashboard!$B$15&lt;&gt;"",B31&gt;=Dashboard!$B$15),Dashboard!$B$16,Dashboard!$B$10)</f>
        <v>1</v>
      </c>
      <c r="G31" s="13">
        <v>1</v>
      </c>
      <c r="H31" s="14">
        <f>IF(C31=0,0,IF(YEAR(B31)=2025,SUMIFS(Tabelle_CCNL!$C$4:$C$51,Tabelle_CCNL!$A$4:$A$51,D31,Tabelle_CCNL!$B$4:$B$51,E31),SUMIFS(Tabelle_CCNL!$D$4:$D$51,Tabelle_CCNL!$A$4:$A$51,D31,Tabelle_CCNL!$B$4:$B$51,E31))*F31*G31)</f>
        <v>0</v>
      </c>
      <c r="I31" s="14">
        <f>IF(C31=0,0,IF(B31&lt;45748,0,IF(B31&lt;45839,SUMIFS(Tabelle_CCNL!$J$4:$J$51,Tabelle_CCNL!$A$4:$A$51,D31,Tabelle_CCNL!$B$4:$B$51,E31)*F31*G31,SUMIFS(Tabelle_CCNL!$K$4:$K$51,Tabelle_CCNL!$A$4:$A$51,D31,Tabelle_CCNL!$B$4:$B$51,E31)*F31*G31)))</f>
        <v>0</v>
      </c>
      <c r="J31" s="14">
        <f t="shared" si="0"/>
        <v>0</v>
      </c>
      <c r="K31" s="14">
        <f>J31*Dashboard!$B$19</f>
        <v>0</v>
      </c>
      <c r="L31" s="14">
        <f>J31*Dashboard!$B$20</f>
        <v>0</v>
      </c>
      <c r="M31" s="14">
        <f>J31*Dashboard!$B$21</f>
        <v>0</v>
      </c>
      <c r="N31" s="14">
        <f>K31+L31+M31+J31*IF(Dashboard!$B$22="SI",Dashboard!$B$23,0)</f>
        <v>0</v>
      </c>
      <c r="O31" s="14">
        <f t="shared" si="1"/>
        <v>0</v>
      </c>
      <c r="P31" s="14">
        <f>Dashboard!$B$18</f>
        <v>0.23</v>
      </c>
      <c r="Q31" s="14">
        <f t="shared" si="2"/>
        <v>0</v>
      </c>
      <c r="R31" s="14">
        <f t="shared" si="3"/>
        <v>0</v>
      </c>
      <c r="S31" s="15" t="str">
        <f t="shared" si="4"/>
        <v>Escluso</v>
      </c>
      <c r="T31" s="15" t="s">
        <v>70</v>
      </c>
      <c r="U31" s="15">
        <v>2026</v>
      </c>
    </row>
    <row r="32" spans="1:21">
      <c r="A32" s="4" t="s">
        <v>97</v>
      </c>
      <c r="B32" s="10">
        <v>46357</v>
      </c>
      <c r="C32" s="11">
        <f>IF(AND(B32&gt;=Dashboard!$B$8,B32&lt;=EOMONTH(Dashboard!$B$9,0),B32&lt;=EOMONTH(Dashboard!$B$17,0)),1,0)</f>
        <v>0</v>
      </c>
      <c r="D32" s="12" t="str">
        <f>IF(AND(Dashboard!$B$13&lt;&gt;"",B32&gt;=Dashboard!$B$13),Dashboard!$B$14,Dashboard!$B$5)</f>
        <v>Docente Scuola Media</v>
      </c>
      <c r="E32" s="12" t="str">
        <f>IF(AND(Dashboard!$B$11&lt;&gt;"",B32&gt;=Dashboard!$B$11),Dashboard!$B$12,Dashboard!$B$6)</f>
        <v>0-8</v>
      </c>
      <c r="F32" s="13">
        <f>IF(AND(Dashboard!$B$15&lt;&gt;"",B32&gt;=Dashboard!$B$15),Dashboard!$B$16,Dashboard!$B$10)</f>
        <v>1</v>
      </c>
      <c r="G32" s="13">
        <v>1</v>
      </c>
      <c r="H32" s="14">
        <f>IF(C32=0,0,IF(YEAR(B32)=2025,SUMIFS(Tabelle_CCNL!$C$4:$C$51,Tabelle_CCNL!$A$4:$A$51,D32,Tabelle_CCNL!$B$4:$B$51,E32),SUMIFS(Tabelle_CCNL!$D$4:$D$51,Tabelle_CCNL!$A$4:$A$51,D32,Tabelle_CCNL!$B$4:$B$51,E32))*F32*G32)</f>
        <v>0</v>
      </c>
      <c r="I32" s="14">
        <f>IF(C32=0,0,IF(B32&lt;45748,0,IF(B32&lt;45839,SUMIFS(Tabelle_CCNL!$J$4:$J$51,Tabelle_CCNL!$A$4:$A$51,D32,Tabelle_CCNL!$B$4:$B$51,E32)*F32*G32,SUMIFS(Tabelle_CCNL!$K$4:$K$51,Tabelle_CCNL!$A$4:$A$51,D32,Tabelle_CCNL!$B$4:$B$51,E32)*F32*G32)))</f>
        <v>0</v>
      </c>
      <c r="J32" s="14">
        <f t="shared" si="0"/>
        <v>0</v>
      </c>
      <c r="K32" s="14">
        <f>J32*Dashboard!$B$19</f>
        <v>0</v>
      </c>
      <c r="L32" s="14">
        <f>J32*Dashboard!$B$20</f>
        <v>0</v>
      </c>
      <c r="M32" s="14">
        <f>J32*Dashboard!$B$21</f>
        <v>0</v>
      </c>
      <c r="N32" s="14">
        <f>K32+L32+M32+J32*IF(Dashboard!$B$22="SI",Dashboard!$B$23,0)</f>
        <v>0</v>
      </c>
      <c r="O32" s="14">
        <f t="shared" si="1"/>
        <v>0</v>
      </c>
      <c r="P32" s="14">
        <f>Dashboard!$B$18</f>
        <v>0.23</v>
      </c>
      <c r="Q32" s="14">
        <f t="shared" si="2"/>
        <v>0</v>
      </c>
      <c r="R32" s="14">
        <f t="shared" si="3"/>
        <v>0</v>
      </c>
      <c r="S32" s="15" t="str">
        <f t="shared" si="4"/>
        <v>Escluso</v>
      </c>
      <c r="T32" s="15" t="s">
        <v>70</v>
      </c>
      <c r="U32" s="15">
        <v>2026</v>
      </c>
    </row>
    <row r="33" spans="1:21">
      <c r="A33" s="4" t="s">
        <v>98</v>
      </c>
      <c r="B33" s="10">
        <v>46387</v>
      </c>
      <c r="C33" s="11">
        <f>IF(SUM(C21:C32)&gt;0,1,0)</f>
        <v>1</v>
      </c>
      <c r="D33" s="12" t="s">
        <v>83</v>
      </c>
      <c r="E33" s="12" t="s">
        <v>84</v>
      </c>
      <c r="F33" s="13">
        <v>1</v>
      </c>
      <c r="G33" s="13">
        <f>SUMPRODUCT(C21:C32,F21:F32,G21:G32)/12</f>
        <v>0.58333333333333337</v>
      </c>
      <c r="H33" s="14">
        <f>SUM(H21:H32)/12</f>
        <v>48.550833333333337</v>
      </c>
      <c r="I33" s="14">
        <v>0</v>
      </c>
      <c r="J33" s="14">
        <f t="shared" si="0"/>
        <v>48.550833333333337</v>
      </c>
      <c r="K33" s="14">
        <f>J33*Dashboard!$B$19</f>
        <v>4.2724733333333331</v>
      </c>
      <c r="L33" s="14">
        <f>J33*Dashboard!$B$20</f>
        <v>0.97101666666666675</v>
      </c>
      <c r="M33" s="14">
        <f>J33*Dashboard!$B$21</f>
        <v>0.16992791666666668</v>
      </c>
      <c r="N33" s="14">
        <f>K33+L33+M33+J33*IF(Dashboard!$B$22="SI",Dashboard!$B$23,0)</f>
        <v>5.4134179166666661</v>
      </c>
      <c r="O33" s="14">
        <f t="shared" si="1"/>
        <v>43.13741541666667</v>
      </c>
      <c r="P33" s="14">
        <f>Dashboard!$B$18</f>
        <v>0.23</v>
      </c>
      <c r="Q33" s="14">
        <f t="shared" si="2"/>
        <v>9.9216055458333337</v>
      </c>
      <c r="R33" s="14">
        <f t="shared" si="3"/>
        <v>33.21580987083334</v>
      </c>
      <c r="S33" s="15" t="str">
        <f t="shared" si="4"/>
        <v>13a pro-rata, IVC non detratta</v>
      </c>
      <c r="T33" s="15" t="s">
        <v>85</v>
      </c>
      <c r="U33" s="15">
        <v>2026</v>
      </c>
    </row>
  </sheetData>
  <mergeCells count="2">
    <mergeCell ref="A1:U1"/>
    <mergeCell ref="A2:U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0000000}">
          <x14:formula1>
            <xm:f>Liste!$A$2:$A$9</xm:f>
          </x14:formula1>
          <xm:sqref>D8:D33</xm:sqref>
        </x14:dataValidation>
        <x14:dataValidation type="list" xr:uid="{00000000-0002-0000-0100-000001000000}">
          <x14:formula1>
            <xm:f>Liste!$B$2:$B$7</xm:f>
          </x14:formula1>
          <xm:sqref>E8:E33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/>
  </sheetViews>
  <sheetFormatPr defaultRowHeight="14"/>
  <cols>
    <col min="1" max="1" width="42" customWidth="1"/>
    <col min="2" max="4" width="24" customWidth="1"/>
    <col min="5" max="5" width="38" customWidth="1"/>
    <col min="6" max="8" width="24" customWidth="1"/>
  </cols>
  <sheetData>
    <row r="1" spans="1:8" ht="20">
      <c r="A1" s="20" t="s">
        <v>99</v>
      </c>
      <c r="B1" s="20"/>
      <c r="C1" s="20"/>
      <c r="D1" s="20"/>
      <c r="E1" s="20"/>
      <c r="F1" s="20"/>
      <c r="G1" s="20"/>
      <c r="H1" s="20"/>
    </row>
    <row r="2" spans="1:8">
      <c r="A2" s="21" t="s">
        <v>100</v>
      </c>
      <c r="B2" s="21"/>
      <c r="C2" s="21"/>
      <c r="D2" s="21"/>
      <c r="E2" s="21"/>
      <c r="F2" s="21"/>
      <c r="G2" s="21"/>
      <c r="H2" s="21"/>
    </row>
    <row r="4" spans="1:8">
      <c r="A4" s="22" t="s">
        <v>101</v>
      </c>
      <c r="B4" s="22"/>
      <c r="C4" s="22"/>
      <c r="D4" s="22"/>
      <c r="E4" s="22" t="s">
        <v>102</v>
      </c>
      <c r="F4" s="22"/>
      <c r="G4" s="22"/>
      <c r="H4" s="22"/>
    </row>
    <row r="5" spans="1:8">
      <c r="A5" s="5" t="s">
        <v>103</v>
      </c>
      <c r="B5" s="16">
        <v>46235</v>
      </c>
      <c r="E5" s="5" t="s">
        <v>104</v>
      </c>
      <c r="F5" s="3">
        <f>IF(YEAR($B$5)=2025,SUMIFS(Tabelle_CCNL!$F$4:$F$51,Tabelle_CCNL!$A$4:$A$51,$B$6,Tabelle_CCNL!$B$4:$B$51,$B$7)/12,IF(YEAR($B$5)=2026,SUMIFS(Tabelle_CCNL!$G$4:$G$51,Tabelle_CCNL!$A$4:$A$51,$B$6,Tabelle_CCNL!$B$4:$B$51,$B$7)/12,SUMIFS(Tabelle_CCNL!$H$4:$H$51,Tabelle_CCNL!$A$4:$A$51,$B$6,Tabelle_CCNL!$B$4:$B$51,$B$7)/12))*$B$8</f>
        <v>2105.5866666666666</v>
      </c>
    </row>
    <row r="6" spans="1:8">
      <c r="A6" s="5" t="s">
        <v>54</v>
      </c>
      <c r="B6" s="6" t="s">
        <v>7</v>
      </c>
      <c r="E6" s="5" t="s">
        <v>105</v>
      </c>
      <c r="F6" s="3">
        <f>IF($B$9="SI",0,IF(LEFT($B$6,3)="ATA",IF($B$6="ATA - Funzionario/EQ (DSGA)",IF(YEAR($B$5)&gt;=2027,116.6,109.5),IF($B$6="ATA - Assistente",IF(YEAR($B$5)&gt;=2027,104.2,97.8),IF(YEAR($B$5)&gt;=2027,94.6,88.8))),IF(OR($B$7="0-8",$B$7="9-14"),IF(YEAR($B$5)&gt;=2027,210.4,205.1),IF(OR($B$7="15-20",$B$7="21-27"),IF(YEAR($B$5)&gt;=2027,258.7,252.1),IF(YEAR($B$5)&gt;=2027,328.6,320.3))))*$B$8)</f>
        <v>205.1</v>
      </c>
    </row>
    <row r="7" spans="1:8">
      <c r="A7" s="5" t="s">
        <v>55</v>
      </c>
      <c r="B7" s="6" t="s">
        <v>10</v>
      </c>
      <c r="E7" s="5" t="s">
        <v>106</v>
      </c>
      <c r="F7" s="3">
        <f>IF(AND($B$6="ATA - Funzionario/EQ (DSGA)",$B$9="NO"),IF(YEAR($B$5)&gt;=2027,3229,3031.9)/12*$B$8,0)</f>
        <v>0</v>
      </c>
    </row>
    <row r="8" spans="1:8">
      <c r="A8" s="5" t="s">
        <v>56</v>
      </c>
      <c r="B8" s="8">
        <v>1</v>
      </c>
      <c r="E8" s="5" t="s">
        <v>107</v>
      </c>
      <c r="F8" s="3">
        <f>$B$10*$B$8</f>
        <v>0</v>
      </c>
    </row>
    <row r="9" spans="1:8">
      <c r="A9" s="5" t="s">
        <v>108</v>
      </c>
      <c r="B9" s="6" t="s">
        <v>40</v>
      </c>
      <c r="E9" s="5" t="s">
        <v>109</v>
      </c>
      <c r="F9" s="3">
        <f>$B$11</f>
        <v>0</v>
      </c>
    </row>
    <row r="10" spans="1:8">
      <c r="A10" s="5" t="s">
        <v>110</v>
      </c>
      <c r="B10" s="17">
        <v>0</v>
      </c>
      <c r="E10" s="5" t="s">
        <v>111</v>
      </c>
      <c r="F10" s="3">
        <f>IF(AND($B$17="SI",YEAR($B$5)=2027,MONTH($B$5)=1,LEFT($B$6,3)="ATA"),110*$B$8,0)</f>
        <v>0</v>
      </c>
    </row>
    <row r="11" spans="1:8">
      <c r="A11" s="5" t="s">
        <v>112</v>
      </c>
      <c r="B11" s="17">
        <v>0</v>
      </c>
      <c r="E11" s="5" t="s">
        <v>113</v>
      </c>
      <c r="F11" s="3">
        <f>SUM(F5:F10)</f>
        <v>2310.6866666666665</v>
      </c>
    </row>
    <row r="12" spans="1:8">
      <c r="A12" s="5" t="s">
        <v>114</v>
      </c>
      <c r="B12" s="8">
        <v>0.23</v>
      </c>
      <c r="E12" s="5" t="s">
        <v>115</v>
      </c>
      <c r="F12" s="3">
        <f>F11*(Dashboard!$B$19+Dashboard!$B$20+Dashboard!$B$21+IF(Dashboard!$B$22="SI",Dashboard!$B$23,0))</f>
        <v>257.64156333333329</v>
      </c>
    </row>
    <row r="13" spans="1:8">
      <c r="A13" s="5" t="s">
        <v>116</v>
      </c>
      <c r="B13" s="17">
        <v>0</v>
      </c>
      <c r="E13" s="5" t="s">
        <v>64</v>
      </c>
      <c r="F13" s="3">
        <f>MAX(F11-F12,0)</f>
        <v>2053.0451033333334</v>
      </c>
    </row>
    <row r="14" spans="1:8">
      <c r="A14" s="5" t="s">
        <v>117</v>
      </c>
      <c r="B14" s="17">
        <v>0</v>
      </c>
      <c r="E14" s="5" t="s">
        <v>118</v>
      </c>
      <c r="F14" s="3">
        <f>F13*$B$12</f>
        <v>472.2003737666667</v>
      </c>
    </row>
    <row r="15" spans="1:8">
      <c r="A15" s="5" t="s">
        <v>119</v>
      </c>
      <c r="B15" s="17">
        <v>0</v>
      </c>
      <c r="E15" s="5" t="s">
        <v>120</v>
      </c>
      <c r="F15" s="3">
        <f>$B$13+$B$14</f>
        <v>0</v>
      </c>
    </row>
    <row r="16" spans="1:8">
      <c r="A16" s="5" t="s">
        <v>121</v>
      </c>
      <c r="B16" s="17">
        <v>0</v>
      </c>
      <c r="E16" s="5" t="s">
        <v>122</v>
      </c>
      <c r="F16" s="3">
        <f>$B$15</f>
        <v>0</v>
      </c>
    </row>
    <row r="17" spans="1:6">
      <c r="A17" s="5" t="s">
        <v>123</v>
      </c>
      <c r="B17" s="6" t="s">
        <v>124</v>
      </c>
      <c r="E17" s="5" t="s">
        <v>125</v>
      </c>
      <c r="F17" s="3">
        <f>$B$16</f>
        <v>0</v>
      </c>
    </row>
    <row r="18" spans="1:6" ht="18">
      <c r="E18" s="5" t="s">
        <v>126</v>
      </c>
      <c r="F18" s="9">
        <f>F13-F14-F15+F16-F17</f>
        <v>1580.8447295666667</v>
      </c>
    </row>
    <row r="20" spans="1:6" ht="14.5">
      <c r="E20" s="19" t="s">
        <v>127</v>
      </c>
      <c r="F20" s="3">
        <f>IF(Dashboard!$B$22="SI",F11*Dashboard!$B$23,0)</f>
        <v>0</v>
      </c>
    </row>
  </sheetData>
  <mergeCells count="4">
    <mergeCell ref="A1:H1"/>
    <mergeCell ref="A2:H2"/>
    <mergeCell ref="A4:D4"/>
    <mergeCell ref="E4:H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Liste!$A$2:$A$9</xm:f>
          </x14:formula1>
          <xm:sqref>B6</xm:sqref>
        </x14:dataValidation>
        <x14:dataValidation type="list" xr:uid="{00000000-0002-0000-0200-000001000000}">
          <x14:formula1>
            <xm:f>Liste!$B$2:$B$7</xm:f>
          </x14:formula1>
          <xm:sqref>B7</xm:sqref>
        </x14:dataValidation>
        <x14:dataValidation type="list" xr:uid="{00000000-0002-0000-0200-000002000000}">
          <x14:formula1>
            <xm:f>Liste!$E$2:$E$3</xm:f>
          </x14:formula1>
          <xm:sqref>B9 B17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/>
  </sheetViews>
  <sheetFormatPr defaultRowHeight="14"/>
  <cols>
    <col min="1" max="1" width="34" customWidth="1"/>
    <col min="2" max="4" width="20" customWidth="1"/>
  </cols>
  <sheetData>
    <row r="1" spans="1:8" ht="20">
      <c r="A1" s="20" t="s">
        <v>128</v>
      </c>
      <c r="B1" s="20"/>
      <c r="C1" s="20"/>
      <c r="D1" s="20"/>
      <c r="E1" s="20"/>
      <c r="F1" s="20"/>
      <c r="G1" s="20"/>
      <c r="H1" s="20"/>
    </row>
    <row r="3" spans="1:8">
      <c r="A3" s="1" t="s">
        <v>129</v>
      </c>
      <c r="B3" s="1" t="s">
        <v>130</v>
      </c>
      <c r="C3" s="1" t="s">
        <v>131</v>
      </c>
      <c r="D3" s="1" t="s">
        <v>132</v>
      </c>
    </row>
    <row r="4" spans="1:8">
      <c r="A4" t="s">
        <v>14</v>
      </c>
      <c r="B4" s="3">
        <f>Dashboard!F7</f>
        <v>872.78204666666682</v>
      </c>
      <c r="C4" s="17">
        <v>0</v>
      </c>
      <c r="D4" s="3">
        <f>C4-B4</f>
        <v>-872.78204666666682</v>
      </c>
    </row>
    <row r="5" spans="1:8">
      <c r="A5" t="s">
        <v>16</v>
      </c>
      <c r="B5" s="3">
        <f>Dashboard!F8</f>
        <v>97.315198203333352</v>
      </c>
      <c r="C5" s="17">
        <v>0</v>
      </c>
      <c r="D5" s="3">
        <f>C5-B5</f>
        <v>-97.315198203333352</v>
      </c>
    </row>
    <row r="6" spans="1:8">
      <c r="A6" t="s">
        <v>133</v>
      </c>
      <c r="B6" s="3">
        <f>Dashboard!F9</f>
        <v>178.35737514656671</v>
      </c>
      <c r="C6" s="17">
        <v>0</v>
      </c>
      <c r="D6" s="3">
        <f>C6-B6</f>
        <v>-178.35737514656671</v>
      </c>
    </row>
    <row r="7" spans="1:8">
      <c r="A7" t="s">
        <v>134</v>
      </c>
      <c r="B7" s="3">
        <f>Dashboard!F10</f>
        <v>597.10947331676653</v>
      </c>
      <c r="C7" s="17">
        <v>0</v>
      </c>
      <c r="D7" s="3">
        <f>C7-B7</f>
        <v>-597.10947331676653</v>
      </c>
    </row>
    <row r="9" spans="1:8">
      <c r="A9" s="22" t="s">
        <v>135</v>
      </c>
      <c r="B9" s="22"/>
      <c r="C9" s="22"/>
      <c r="D9" s="22"/>
      <c r="E9" s="22"/>
      <c r="F9" s="22"/>
      <c r="G9" s="22"/>
      <c r="H9" s="22"/>
    </row>
    <row r="10" spans="1:8">
      <c r="A10" s="21" t="s">
        <v>136</v>
      </c>
      <c r="B10" s="21"/>
      <c r="C10" s="21"/>
      <c r="D10" s="21"/>
      <c r="E10" s="21"/>
      <c r="F10" s="21"/>
      <c r="G10" s="21"/>
      <c r="H10" s="21"/>
    </row>
    <row r="11" spans="1:8">
      <c r="A11" s="21"/>
      <c r="B11" s="21"/>
      <c r="C11" s="21"/>
      <c r="D11" s="21"/>
      <c r="E11" s="21"/>
      <c r="F11" s="21"/>
      <c r="G11" s="21"/>
      <c r="H11" s="21"/>
    </row>
    <row r="12" spans="1:8">
      <c r="A12" s="21"/>
      <c r="B12" s="21"/>
      <c r="C12" s="21"/>
      <c r="D12" s="21"/>
      <c r="E12" s="21"/>
      <c r="F12" s="21"/>
      <c r="G12" s="21"/>
      <c r="H12" s="21"/>
    </row>
  </sheetData>
  <mergeCells count="3">
    <mergeCell ref="A1:H1"/>
    <mergeCell ref="A9:H9"/>
    <mergeCell ref="A10:H12"/>
  </mergeCells>
  <conditionalFormatting sqref="D4:D7">
    <cfRule type="expression" dxfId="1" priority="1">
      <formula>ABS(D4)&gt;1</formula>
    </cfRule>
    <cfRule type="expression" dxfId="0" priority="2">
      <formula>ABS(D4)&lt;=1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workbookViewId="0"/>
  </sheetViews>
  <sheetFormatPr defaultRowHeight="14"/>
  <cols>
    <col min="1" max="1" width="30" customWidth="1"/>
    <col min="2" max="2" width="10" customWidth="1"/>
    <col min="3" max="5" width="15" customWidth="1"/>
    <col min="6" max="8" width="17" customWidth="1"/>
    <col min="9" max="11" width="18" customWidth="1"/>
    <col min="12" max="12" width="10" customWidth="1"/>
    <col min="13" max="13" width="35" customWidth="1"/>
    <col min="14" max="14" width="38" customWidth="1"/>
  </cols>
  <sheetData>
    <row r="1" spans="1:14" ht="20">
      <c r="A1" s="20" t="s">
        <v>137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28">
      <c r="A3" s="1" t="s">
        <v>54</v>
      </c>
      <c r="B3" s="1" t="s">
        <v>55</v>
      </c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  <c r="L3" s="1" t="s">
        <v>147</v>
      </c>
      <c r="M3" s="1" t="s">
        <v>148</v>
      </c>
      <c r="N3" s="1" t="s">
        <v>149</v>
      </c>
    </row>
    <row r="4" spans="1:14" ht="42">
      <c r="A4" t="s">
        <v>150</v>
      </c>
      <c r="B4" t="s">
        <v>10</v>
      </c>
      <c r="C4" s="3">
        <v>29.93</v>
      </c>
      <c r="D4" s="3">
        <v>59.87</v>
      </c>
      <c r="E4" s="3">
        <v>85.77</v>
      </c>
      <c r="F4" s="3">
        <v>17815.8</v>
      </c>
      <c r="G4" s="3">
        <v>18175.080000000002</v>
      </c>
      <c r="H4" s="3">
        <v>18485.88</v>
      </c>
      <c r="I4" s="3">
        <v>1454.7199999999998</v>
      </c>
      <c r="J4" s="3">
        <v>8.7283199999999983</v>
      </c>
      <c r="K4" s="3">
        <v>14.547199999999998</v>
      </c>
      <c r="L4" t="s">
        <v>151</v>
      </c>
      <c r="M4" s="4" t="s">
        <v>152</v>
      </c>
      <c r="N4" t="s">
        <v>153</v>
      </c>
    </row>
    <row r="5" spans="1:14" ht="42">
      <c r="A5" t="s">
        <v>150</v>
      </c>
      <c r="B5" t="s">
        <v>24</v>
      </c>
      <c r="C5" s="3">
        <v>32.51</v>
      </c>
      <c r="D5" s="3">
        <v>65.02</v>
      </c>
      <c r="E5" s="3">
        <v>93.15</v>
      </c>
      <c r="F5" s="3">
        <v>19348.93</v>
      </c>
      <c r="G5" s="3">
        <v>19739.05</v>
      </c>
      <c r="H5" s="3">
        <v>20076.61</v>
      </c>
      <c r="I5" s="3">
        <v>1579.9008333333334</v>
      </c>
      <c r="J5" s="3">
        <v>9.4794049999999999</v>
      </c>
      <c r="K5" s="3">
        <v>15.799008333333335</v>
      </c>
      <c r="L5" t="s">
        <v>151</v>
      </c>
      <c r="M5" s="4" t="s">
        <v>152</v>
      </c>
      <c r="N5" t="s">
        <v>154</v>
      </c>
    </row>
    <row r="6" spans="1:14" ht="42">
      <c r="A6" t="s">
        <v>150</v>
      </c>
      <c r="B6" t="s">
        <v>155</v>
      </c>
      <c r="C6" s="3">
        <v>34.380000000000003</v>
      </c>
      <c r="D6" s="3">
        <v>68.77</v>
      </c>
      <c r="E6" s="3">
        <v>98.53</v>
      </c>
      <c r="F6" s="3">
        <v>20465.7</v>
      </c>
      <c r="G6" s="3">
        <v>20878.38</v>
      </c>
      <c r="H6" s="3">
        <v>21235.5</v>
      </c>
      <c r="I6" s="3">
        <v>1671.095</v>
      </c>
      <c r="J6" s="3">
        <v>10.02657</v>
      </c>
      <c r="K6" s="3">
        <v>16.71095</v>
      </c>
      <c r="L6" t="s">
        <v>151</v>
      </c>
      <c r="M6" s="4" t="s">
        <v>152</v>
      </c>
      <c r="N6" t="s">
        <v>156</v>
      </c>
    </row>
    <row r="7" spans="1:14" ht="42">
      <c r="A7" t="s">
        <v>150</v>
      </c>
      <c r="B7" t="s">
        <v>157</v>
      </c>
      <c r="C7" s="3">
        <v>36.270000000000003</v>
      </c>
      <c r="D7" s="3">
        <v>72.55</v>
      </c>
      <c r="E7" s="3">
        <v>103.94</v>
      </c>
      <c r="F7" s="3">
        <v>21589.47</v>
      </c>
      <c r="G7" s="3">
        <v>22024.83</v>
      </c>
      <c r="H7" s="3">
        <v>22401.51</v>
      </c>
      <c r="I7" s="3">
        <v>1762.8525000000002</v>
      </c>
      <c r="J7" s="3">
        <v>10.577115000000001</v>
      </c>
      <c r="K7" s="3">
        <v>17.628525000000003</v>
      </c>
      <c r="L7" t="s">
        <v>151</v>
      </c>
      <c r="M7" s="4" t="s">
        <v>152</v>
      </c>
      <c r="N7" t="s">
        <v>158</v>
      </c>
    </row>
    <row r="8" spans="1:14" ht="42">
      <c r="A8" t="s">
        <v>150</v>
      </c>
      <c r="B8" t="s">
        <v>159</v>
      </c>
      <c r="C8" s="3">
        <v>37.659999999999997</v>
      </c>
      <c r="D8" s="3">
        <v>75.34</v>
      </c>
      <c r="E8" s="3">
        <v>107.93</v>
      </c>
      <c r="F8" s="3">
        <v>22418.57</v>
      </c>
      <c r="G8" s="3">
        <v>22870.73</v>
      </c>
      <c r="H8" s="3">
        <v>23261.81</v>
      </c>
      <c r="I8" s="3">
        <v>1830.5541666666666</v>
      </c>
      <c r="J8" s="3">
        <v>10.983324999999999</v>
      </c>
      <c r="K8" s="3">
        <v>18.305541666666667</v>
      </c>
      <c r="L8" t="s">
        <v>151</v>
      </c>
      <c r="M8" s="4" t="s">
        <v>152</v>
      </c>
      <c r="N8" t="s">
        <v>160</v>
      </c>
    </row>
    <row r="9" spans="1:14" ht="42">
      <c r="A9" t="s">
        <v>150</v>
      </c>
      <c r="B9" t="s">
        <v>161</v>
      </c>
      <c r="C9" s="3">
        <v>38.68</v>
      </c>
      <c r="D9" s="3">
        <v>77.37</v>
      </c>
      <c r="E9" s="3">
        <v>110.84</v>
      </c>
      <c r="F9" s="3">
        <v>23023.51</v>
      </c>
      <c r="G9" s="3">
        <v>23487.79</v>
      </c>
      <c r="H9" s="3">
        <v>23889.43</v>
      </c>
      <c r="I9" s="3">
        <v>1879.9458333333332</v>
      </c>
      <c r="J9" s="3">
        <v>11.279674999999999</v>
      </c>
      <c r="K9" s="3">
        <v>18.799458333333334</v>
      </c>
      <c r="L9" t="s">
        <v>151</v>
      </c>
      <c r="M9" s="4" t="s">
        <v>152</v>
      </c>
      <c r="N9" t="s">
        <v>162</v>
      </c>
    </row>
    <row r="10" spans="1:14" ht="42">
      <c r="A10" t="s">
        <v>163</v>
      </c>
      <c r="B10" t="s">
        <v>10</v>
      </c>
      <c r="C10" s="3">
        <v>30.66</v>
      </c>
      <c r="D10" s="3">
        <v>61.32</v>
      </c>
      <c r="E10" s="3">
        <v>125.41</v>
      </c>
      <c r="F10" s="3">
        <v>18247.849999999999</v>
      </c>
      <c r="G10" s="3">
        <v>18615.77</v>
      </c>
      <c r="H10" s="3">
        <v>19384.86</v>
      </c>
      <c r="I10" s="3">
        <v>1489.9941666666664</v>
      </c>
      <c r="J10" s="3">
        <v>8.9399649999999991</v>
      </c>
      <c r="K10" s="3">
        <v>14.899941666666663</v>
      </c>
      <c r="L10" t="s">
        <v>151</v>
      </c>
      <c r="M10" s="4" t="s">
        <v>152</v>
      </c>
      <c r="N10" t="s">
        <v>164</v>
      </c>
    </row>
    <row r="11" spans="1:14" ht="42">
      <c r="A11" t="s">
        <v>163</v>
      </c>
      <c r="B11" t="s">
        <v>24</v>
      </c>
      <c r="C11" s="3">
        <v>33.19</v>
      </c>
      <c r="D11" s="3">
        <v>66.38</v>
      </c>
      <c r="E11" s="3">
        <v>135.76</v>
      </c>
      <c r="F11" s="3">
        <v>19752.95</v>
      </c>
      <c r="G11" s="3">
        <v>20151.23</v>
      </c>
      <c r="H11" s="3">
        <v>20983.78</v>
      </c>
      <c r="I11" s="3">
        <v>1612.8891666666666</v>
      </c>
      <c r="J11" s="3">
        <v>9.6773349999999994</v>
      </c>
      <c r="K11" s="3">
        <v>16.128891666666668</v>
      </c>
      <c r="L11" t="s">
        <v>151</v>
      </c>
      <c r="M11" s="4" t="s">
        <v>152</v>
      </c>
      <c r="N11" t="s">
        <v>165</v>
      </c>
    </row>
    <row r="12" spans="1:14" ht="42">
      <c r="A12" t="s">
        <v>163</v>
      </c>
      <c r="B12" t="s">
        <v>155</v>
      </c>
      <c r="C12" s="3">
        <v>35.1</v>
      </c>
      <c r="D12" s="3">
        <v>70.209999999999994</v>
      </c>
      <c r="E12" s="3">
        <v>143.6</v>
      </c>
      <c r="F12" s="3">
        <v>20894.310000000001</v>
      </c>
      <c r="G12" s="3">
        <v>21315.63</v>
      </c>
      <c r="H12" s="3">
        <v>22196.29</v>
      </c>
      <c r="I12" s="3">
        <v>1706.0925000000002</v>
      </c>
      <c r="J12" s="3">
        <v>10.236555000000001</v>
      </c>
      <c r="K12" s="3">
        <v>17.060925000000001</v>
      </c>
      <c r="L12" t="s">
        <v>151</v>
      </c>
      <c r="M12" s="4" t="s">
        <v>152</v>
      </c>
      <c r="N12" t="s">
        <v>166</v>
      </c>
    </row>
    <row r="13" spans="1:14" ht="42">
      <c r="A13" t="s">
        <v>163</v>
      </c>
      <c r="B13" t="s">
        <v>157</v>
      </c>
      <c r="C13" s="3">
        <v>37.01</v>
      </c>
      <c r="D13" s="3">
        <v>74.02</v>
      </c>
      <c r="E13" s="3">
        <v>151.38999999999999</v>
      </c>
      <c r="F13" s="3">
        <v>22027.71</v>
      </c>
      <c r="G13" s="3">
        <v>22471.83</v>
      </c>
      <c r="H13" s="3">
        <v>23400.29</v>
      </c>
      <c r="I13" s="3">
        <v>1798.6324999999999</v>
      </c>
      <c r="J13" s="3">
        <v>10.791795</v>
      </c>
      <c r="K13" s="3">
        <v>17.986325000000001</v>
      </c>
      <c r="L13" t="s">
        <v>151</v>
      </c>
      <c r="M13" s="4" t="s">
        <v>152</v>
      </c>
      <c r="N13" t="s">
        <v>167</v>
      </c>
    </row>
    <row r="14" spans="1:14" ht="42">
      <c r="A14" t="s">
        <v>163</v>
      </c>
      <c r="B14" t="s">
        <v>159</v>
      </c>
      <c r="C14" s="3">
        <v>38.380000000000003</v>
      </c>
      <c r="D14" s="3">
        <v>76.760000000000005</v>
      </c>
      <c r="E14" s="3">
        <v>156.99</v>
      </c>
      <c r="F14" s="3">
        <v>22843.32</v>
      </c>
      <c r="G14" s="3">
        <v>23303.88</v>
      </c>
      <c r="H14" s="3">
        <v>24266.639999999999</v>
      </c>
      <c r="I14" s="3">
        <v>1865.2299999999998</v>
      </c>
      <c r="J14" s="3">
        <v>11.191379999999999</v>
      </c>
      <c r="K14" s="3">
        <v>18.652299999999997</v>
      </c>
      <c r="L14" t="s">
        <v>151</v>
      </c>
      <c r="M14" s="4" t="s">
        <v>152</v>
      </c>
      <c r="N14" t="s">
        <v>168</v>
      </c>
    </row>
    <row r="15" spans="1:14" ht="42">
      <c r="A15" t="s">
        <v>163</v>
      </c>
      <c r="B15" t="s">
        <v>161</v>
      </c>
      <c r="C15" s="3">
        <v>39.42</v>
      </c>
      <c r="D15" s="3">
        <v>78.849999999999994</v>
      </c>
      <c r="E15" s="3">
        <v>161.26</v>
      </c>
      <c r="F15" s="3">
        <v>23464.18</v>
      </c>
      <c r="G15" s="3">
        <v>23937.34</v>
      </c>
      <c r="H15" s="3">
        <v>24926.240000000002</v>
      </c>
      <c r="I15" s="3">
        <v>1915.9283333333333</v>
      </c>
      <c r="J15" s="3">
        <v>11.495570000000001</v>
      </c>
      <c r="K15" s="3">
        <v>19.159283333333335</v>
      </c>
      <c r="L15" t="s">
        <v>151</v>
      </c>
      <c r="M15" s="4" t="s">
        <v>152</v>
      </c>
      <c r="N15" t="s">
        <v>169</v>
      </c>
    </row>
    <row r="16" spans="1:14" ht="42">
      <c r="A16" t="s">
        <v>170</v>
      </c>
      <c r="B16" t="s">
        <v>10</v>
      </c>
      <c r="C16" s="3">
        <v>33.36</v>
      </c>
      <c r="D16" s="3">
        <v>66.739999999999995</v>
      </c>
      <c r="E16" s="3">
        <v>95.61</v>
      </c>
      <c r="F16" s="3">
        <v>19859.439999999999</v>
      </c>
      <c r="G16" s="3">
        <v>20260</v>
      </c>
      <c r="H16" s="3">
        <v>20606.439999999999</v>
      </c>
      <c r="I16" s="3">
        <v>1621.5933333333332</v>
      </c>
      <c r="J16" s="3">
        <v>9.7295599999999993</v>
      </c>
      <c r="K16" s="3">
        <v>16.215933333333332</v>
      </c>
      <c r="L16" t="s">
        <v>151</v>
      </c>
      <c r="M16" s="4" t="s">
        <v>152</v>
      </c>
      <c r="N16" t="s">
        <v>171</v>
      </c>
    </row>
    <row r="17" spans="1:14" ht="42">
      <c r="A17" t="s">
        <v>170</v>
      </c>
      <c r="B17" t="s">
        <v>24</v>
      </c>
      <c r="C17" s="3">
        <v>36.630000000000003</v>
      </c>
      <c r="D17" s="3">
        <v>73.27</v>
      </c>
      <c r="E17" s="3">
        <v>104.97</v>
      </c>
      <c r="F17" s="3">
        <v>21803.439999999999</v>
      </c>
      <c r="G17" s="3">
        <v>22243.119999999999</v>
      </c>
      <c r="H17" s="3">
        <v>22623.52</v>
      </c>
      <c r="I17" s="3">
        <v>1780.323333333333</v>
      </c>
      <c r="J17" s="3">
        <v>10.681939999999999</v>
      </c>
      <c r="K17" s="3">
        <v>17.803233333333331</v>
      </c>
      <c r="L17" t="s">
        <v>151</v>
      </c>
      <c r="M17" s="4" t="s">
        <v>152</v>
      </c>
      <c r="N17" t="s">
        <v>172</v>
      </c>
    </row>
    <row r="18" spans="1:14" ht="42">
      <c r="A18" t="s">
        <v>170</v>
      </c>
      <c r="B18" t="s">
        <v>155</v>
      </c>
      <c r="C18" s="3">
        <v>39.1</v>
      </c>
      <c r="D18" s="3">
        <v>78.209999999999994</v>
      </c>
      <c r="E18" s="3">
        <v>112.05</v>
      </c>
      <c r="F18" s="3">
        <v>23273.85</v>
      </c>
      <c r="G18" s="3">
        <v>23743.17</v>
      </c>
      <c r="H18" s="3">
        <v>24149.25</v>
      </c>
      <c r="I18" s="3">
        <v>1900.3875</v>
      </c>
      <c r="J18" s="3">
        <v>11.402325000000001</v>
      </c>
      <c r="K18" s="3">
        <v>19.003875000000001</v>
      </c>
      <c r="L18" t="s">
        <v>151</v>
      </c>
      <c r="M18" s="4" t="s">
        <v>152</v>
      </c>
      <c r="N18" t="s">
        <v>173</v>
      </c>
    </row>
    <row r="19" spans="1:14" ht="42">
      <c r="A19" t="s">
        <v>170</v>
      </c>
      <c r="B19" t="s">
        <v>157</v>
      </c>
      <c r="C19" s="3">
        <v>41.54</v>
      </c>
      <c r="D19" s="3">
        <v>83.09</v>
      </c>
      <c r="E19" s="3">
        <v>119.04</v>
      </c>
      <c r="F19" s="3">
        <v>24726.42</v>
      </c>
      <c r="G19" s="3">
        <v>25225.02</v>
      </c>
      <c r="H19" s="3">
        <v>25656.42</v>
      </c>
      <c r="I19" s="3">
        <v>2018.9949999999999</v>
      </c>
      <c r="J19" s="3">
        <v>12.11397</v>
      </c>
      <c r="K19" s="3">
        <v>20.18995</v>
      </c>
      <c r="L19" t="s">
        <v>151</v>
      </c>
      <c r="M19" s="4" t="s">
        <v>152</v>
      </c>
      <c r="N19" t="s">
        <v>174</v>
      </c>
    </row>
    <row r="20" spans="1:14" ht="42">
      <c r="A20" t="s">
        <v>170</v>
      </c>
      <c r="B20" t="s">
        <v>159</v>
      </c>
      <c r="C20" s="3">
        <v>43.31</v>
      </c>
      <c r="D20" s="3">
        <v>86.63</v>
      </c>
      <c r="E20" s="3">
        <v>124.11</v>
      </c>
      <c r="F20" s="3">
        <v>25778.98</v>
      </c>
      <c r="G20" s="3">
        <v>26298.82</v>
      </c>
      <c r="H20" s="3">
        <v>26748.58</v>
      </c>
      <c r="I20" s="3">
        <v>2104.9383333333335</v>
      </c>
      <c r="J20" s="3">
        <v>12.629630000000001</v>
      </c>
      <c r="K20" s="3">
        <v>21.049383333333335</v>
      </c>
      <c r="L20" t="s">
        <v>151</v>
      </c>
      <c r="M20" s="4" t="s">
        <v>152</v>
      </c>
      <c r="N20" t="s">
        <v>175</v>
      </c>
    </row>
    <row r="21" spans="1:14" ht="42">
      <c r="A21" t="s">
        <v>170</v>
      </c>
      <c r="B21" t="s">
        <v>161</v>
      </c>
      <c r="C21" s="3">
        <v>44.67</v>
      </c>
      <c r="D21" s="3">
        <v>89.34</v>
      </c>
      <c r="E21" s="3">
        <v>128</v>
      </c>
      <c r="F21" s="3">
        <v>26586.65</v>
      </c>
      <c r="G21" s="3">
        <v>27122.69</v>
      </c>
      <c r="H21" s="3">
        <v>27586.61</v>
      </c>
      <c r="I21" s="3">
        <v>2170.8841666666667</v>
      </c>
      <c r="J21" s="3">
        <v>13.025305000000001</v>
      </c>
      <c r="K21" s="3">
        <v>21.708841666666668</v>
      </c>
      <c r="L21" t="s">
        <v>151</v>
      </c>
      <c r="M21" s="4" t="s">
        <v>152</v>
      </c>
      <c r="N21" t="s">
        <v>176</v>
      </c>
    </row>
    <row r="22" spans="1:14" ht="42">
      <c r="A22" t="s">
        <v>177</v>
      </c>
      <c r="B22" t="s">
        <v>10</v>
      </c>
      <c r="C22" s="3">
        <v>43.7</v>
      </c>
      <c r="D22" s="3">
        <v>87.41</v>
      </c>
      <c r="E22" s="3">
        <v>125.23</v>
      </c>
      <c r="F22" s="3">
        <v>26012.77</v>
      </c>
      <c r="G22" s="3">
        <v>26537.29</v>
      </c>
      <c r="H22" s="3">
        <v>26991.13</v>
      </c>
      <c r="I22" s="3">
        <v>2124.0308333333337</v>
      </c>
      <c r="J22" s="3">
        <v>12.744185000000002</v>
      </c>
      <c r="K22" s="3">
        <v>21.240308333333338</v>
      </c>
      <c r="L22" t="s">
        <v>151</v>
      </c>
      <c r="M22" s="4" t="s">
        <v>152</v>
      </c>
      <c r="N22" t="s">
        <v>178</v>
      </c>
    </row>
    <row r="23" spans="1:14" ht="42">
      <c r="A23" t="s">
        <v>177</v>
      </c>
      <c r="B23" t="s">
        <v>24</v>
      </c>
      <c r="C23" s="3">
        <v>48.73</v>
      </c>
      <c r="D23" s="3">
        <v>97.48</v>
      </c>
      <c r="E23" s="3">
        <v>139.65</v>
      </c>
      <c r="F23" s="3">
        <v>29007.08</v>
      </c>
      <c r="G23" s="3">
        <v>29592.080000000002</v>
      </c>
      <c r="H23" s="3">
        <v>30098.12</v>
      </c>
      <c r="I23" s="3">
        <v>2368.5266666666666</v>
      </c>
      <c r="J23" s="3">
        <v>14.21116</v>
      </c>
      <c r="K23" s="3">
        <v>23.685266666666667</v>
      </c>
      <c r="L23" t="s">
        <v>151</v>
      </c>
      <c r="M23" s="4" t="s">
        <v>152</v>
      </c>
      <c r="N23" t="s">
        <v>179</v>
      </c>
    </row>
    <row r="24" spans="1:14" ht="42">
      <c r="A24" t="s">
        <v>177</v>
      </c>
      <c r="B24" t="s">
        <v>155</v>
      </c>
      <c r="C24" s="3">
        <v>53.22</v>
      </c>
      <c r="D24" s="3">
        <v>106.45</v>
      </c>
      <c r="E24" s="3">
        <v>152.5</v>
      </c>
      <c r="F24" s="3">
        <v>31676.68</v>
      </c>
      <c r="G24" s="3">
        <v>32315.439999999999</v>
      </c>
      <c r="H24" s="3">
        <v>32868.04</v>
      </c>
      <c r="I24" s="3">
        <v>2586.5033333333336</v>
      </c>
      <c r="J24" s="3">
        <v>15.519020000000001</v>
      </c>
      <c r="K24" s="3">
        <v>25.865033333333336</v>
      </c>
      <c r="L24" t="s">
        <v>151</v>
      </c>
      <c r="M24" s="4" t="s">
        <v>152</v>
      </c>
      <c r="N24" t="s">
        <v>180</v>
      </c>
    </row>
    <row r="25" spans="1:14" ht="42">
      <c r="A25" t="s">
        <v>177</v>
      </c>
      <c r="B25" t="s">
        <v>157</v>
      </c>
      <c r="C25" s="3">
        <v>58.02</v>
      </c>
      <c r="D25" s="3">
        <v>116.05</v>
      </c>
      <c r="E25" s="3">
        <v>166.26</v>
      </c>
      <c r="F25" s="3">
        <v>34533.53</v>
      </c>
      <c r="G25" s="3">
        <v>35229.89</v>
      </c>
      <c r="H25" s="3">
        <v>35832.410000000003</v>
      </c>
      <c r="I25" s="3">
        <v>2819.7741666666666</v>
      </c>
      <c r="J25" s="3">
        <v>16.918645000000001</v>
      </c>
      <c r="K25" s="3">
        <v>28.197741666666666</v>
      </c>
      <c r="L25" t="s">
        <v>151</v>
      </c>
      <c r="M25" s="4" t="s">
        <v>152</v>
      </c>
      <c r="N25" t="s">
        <v>181</v>
      </c>
    </row>
    <row r="26" spans="1:14" ht="42">
      <c r="A26" t="s">
        <v>177</v>
      </c>
      <c r="B26" t="s">
        <v>159</v>
      </c>
      <c r="C26" s="3">
        <v>63.02</v>
      </c>
      <c r="D26" s="3">
        <v>126.06</v>
      </c>
      <c r="E26" s="3">
        <v>180.6</v>
      </c>
      <c r="F26" s="3">
        <v>37512.129999999997</v>
      </c>
      <c r="G26" s="3">
        <v>38268.61</v>
      </c>
      <c r="H26" s="3">
        <v>38923.089999999997</v>
      </c>
      <c r="I26" s="3">
        <v>3062.9908333333333</v>
      </c>
      <c r="J26" s="3">
        <v>18.377945</v>
      </c>
      <c r="K26" s="3">
        <v>30.629908333333333</v>
      </c>
      <c r="L26" t="s">
        <v>151</v>
      </c>
      <c r="M26" s="4" t="s">
        <v>152</v>
      </c>
      <c r="N26" t="s">
        <v>182</v>
      </c>
    </row>
    <row r="27" spans="1:14" ht="42">
      <c r="A27" t="s">
        <v>177</v>
      </c>
      <c r="B27" t="s">
        <v>161</v>
      </c>
      <c r="C27" s="3">
        <v>67.900000000000006</v>
      </c>
      <c r="D27" s="3">
        <v>135.81</v>
      </c>
      <c r="E27" s="3">
        <v>194.57</v>
      </c>
      <c r="F27" s="3">
        <v>40415.18</v>
      </c>
      <c r="G27" s="3">
        <v>41230.1</v>
      </c>
      <c r="H27" s="3">
        <v>41935.22</v>
      </c>
      <c r="I27" s="3">
        <v>3300.0316666666668</v>
      </c>
      <c r="J27" s="3">
        <v>19.800190000000001</v>
      </c>
      <c r="K27" s="3">
        <v>33.00031666666667</v>
      </c>
      <c r="L27" t="s">
        <v>151</v>
      </c>
      <c r="M27" s="4" t="s">
        <v>152</v>
      </c>
      <c r="N27" t="s">
        <v>183</v>
      </c>
    </row>
    <row r="28" spans="1:14" ht="42">
      <c r="A28" t="s">
        <v>184</v>
      </c>
      <c r="B28" t="s">
        <v>10</v>
      </c>
      <c r="C28" s="3">
        <v>38.44</v>
      </c>
      <c r="D28" s="3">
        <v>76.89</v>
      </c>
      <c r="E28" s="3">
        <v>110.16</v>
      </c>
      <c r="F28" s="3">
        <v>22881.759999999998</v>
      </c>
      <c r="G28" s="3">
        <v>23343.16</v>
      </c>
      <c r="H28" s="3">
        <v>23742.400000000001</v>
      </c>
      <c r="I28" s="3">
        <v>1868.3733333333332</v>
      </c>
      <c r="J28" s="3">
        <v>11.210239999999999</v>
      </c>
      <c r="K28" s="3">
        <v>18.683733333333333</v>
      </c>
      <c r="L28" t="s">
        <v>185</v>
      </c>
      <c r="M28" s="4" t="s">
        <v>152</v>
      </c>
      <c r="N28" t="s">
        <v>186</v>
      </c>
    </row>
    <row r="29" spans="1:14" ht="42">
      <c r="A29" t="s">
        <v>184</v>
      </c>
      <c r="B29" t="s">
        <v>24</v>
      </c>
      <c r="C29" s="3">
        <v>42.51</v>
      </c>
      <c r="D29" s="3">
        <v>85.03</v>
      </c>
      <c r="E29" s="3">
        <v>121.82</v>
      </c>
      <c r="F29" s="3">
        <v>25303.03</v>
      </c>
      <c r="G29" s="3">
        <v>25813.27</v>
      </c>
      <c r="H29" s="3">
        <v>26254.75</v>
      </c>
      <c r="I29" s="3">
        <v>2066.0758333333329</v>
      </c>
      <c r="J29" s="3">
        <v>12.396454999999998</v>
      </c>
      <c r="K29" s="3">
        <v>20.66075833333333</v>
      </c>
      <c r="L29" t="s">
        <v>185</v>
      </c>
      <c r="M29" s="4" t="s">
        <v>152</v>
      </c>
      <c r="N29" t="s">
        <v>187</v>
      </c>
    </row>
    <row r="30" spans="1:14" ht="42">
      <c r="A30" t="s">
        <v>184</v>
      </c>
      <c r="B30" t="s">
        <v>155</v>
      </c>
      <c r="C30" s="3">
        <v>46.08</v>
      </c>
      <c r="D30" s="3">
        <v>92.17</v>
      </c>
      <c r="E30" s="3">
        <v>132.04</v>
      </c>
      <c r="F30" s="3">
        <v>27426.79</v>
      </c>
      <c r="G30" s="3">
        <v>27979.87</v>
      </c>
      <c r="H30" s="3">
        <v>28458.31</v>
      </c>
      <c r="I30" s="3">
        <v>2239.4858333333336</v>
      </c>
      <c r="J30" s="3">
        <v>13.436915000000003</v>
      </c>
      <c r="K30" s="3">
        <v>22.394858333333335</v>
      </c>
      <c r="L30" t="s">
        <v>185</v>
      </c>
      <c r="M30" s="4" t="s">
        <v>152</v>
      </c>
      <c r="N30" t="s">
        <v>188</v>
      </c>
    </row>
    <row r="31" spans="1:14" ht="42">
      <c r="A31" t="s">
        <v>184</v>
      </c>
      <c r="B31" t="s">
        <v>157</v>
      </c>
      <c r="C31" s="3">
        <v>49.56</v>
      </c>
      <c r="D31" s="3">
        <v>99.14</v>
      </c>
      <c r="E31" s="3">
        <v>142.03</v>
      </c>
      <c r="F31" s="3">
        <v>29501.99</v>
      </c>
      <c r="G31" s="3">
        <v>30096.95</v>
      </c>
      <c r="H31" s="3">
        <v>30611.63</v>
      </c>
      <c r="I31" s="3">
        <v>2408.939166666667</v>
      </c>
      <c r="J31" s="3">
        <v>14.453635000000002</v>
      </c>
      <c r="K31" s="3">
        <v>24.089391666666671</v>
      </c>
      <c r="L31" t="s">
        <v>185</v>
      </c>
      <c r="M31" s="4" t="s">
        <v>152</v>
      </c>
      <c r="N31" t="s">
        <v>189</v>
      </c>
    </row>
    <row r="32" spans="1:14" ht="42">
      <c r="A32" t="s">
        <v>184</v>
      </c>
      <c r="B32" t="s">
        <v>159</v>
      </c>
      <c r="C32" s="3">
        <v>53.02</v>
      </c>
      <c r="D32" s="3">
        <v>106.06</v>
      </c>
      <c r="E32" s="3">
        <v>151.94</v>
      </c>
      <c r="F32" s="3">
        <v>31560.74</v>
      </c>
      <c r="G32" s="3">
        <v>32197.22</v>
      </c>
      <c r="H32" s="3">
        <v>32747.78</v>
      </c>
      <c r="I32" s="3">
        <v>2577.041666666667</v>
      </c>
      <c r="J32" s="3">
        <v>15.462250000000003</v>
      </c>
      <c r="K32" s="3">
        <v>25.770416666666669</v>
      </c>
      <c r="L32" t="s">
        <v>185</v>
      </c>
      <c r="M32" s="4" t="s">
        <v>152</v>
      </c>
      <c r="N32" t="s">
        <v>190</v>
      </c>
    </row>
    <row r="33" spans="1:14" ht="42">
      <c r="A33" t="s">
        <v>184</v>
      </c>
      <c r="B33" t="s">
        <v>161</v>
      </c>
      <c r="C33" s="3">
        <v>55.64</v>
      </c>
      <c r="D33" s="3">
        <v>111.29</v>
      </c>
      <c r="E33" s="3">
        <v>159.44</v>
      </c>
      <c r="F33" s="3">
        <v>33117.160000000003</v>
      </c>
      <c r="G33" s="3">
        <v>33784.959999999999</v>
      </c>
      <c r="H33" s="3">
        <v>34362.76</v>
      </c>
      <c r="I33" s="3">
        <v>2704.1233333333339</v>
      </c>
      <c r="J33" s="3">
        <v>16.224740000000004</v>
      </c>
      <c r="K33" s="3">
        <v>27.041233333333338</v>
      </c>
      <c r="L33" t="s">
        <v>185</v>
      </c>
      <c r="M33" s="4" t="s">
        <v>152</v>
      </c>
      <c r="N33" t="s">
        <v>191</v>
      </c>
    </row>
    <row r="34" spans="1:14" ht="42">
      <c r="A34" t="s">
        <v>192</v>
      </c>
      <c r="B34" t="s">
        <v>10</v>
      </c>
      <c r="C34" s="3">
        <v>38.44</v>
      </c>
      <c r="D34" s="3">
        <v>76.89</v>
      </c>
      <c r="E34" s="3">
        <v>110.16</v>
      </c>
      <c r="F34" s="3">
        <v>22881.759999999998</v>
      </c>
      <c r="G34" s="3">
        <v>23343.16</v>
      </c>
      <c r="H34" s="3">
        <v>23742.400000000001</v>
      </c>
      <c r="I34" s="3">
        <v>1868.3733333333332</v>
      </c>
      <c r="J34" s="3">
        <v>11.210239999999999</v>
      </c>
      <c r="K34" s="3">
        <v>18.683733333333333</v>
      </c>
      <c r="L34" t="s">
        <v>185</v>
      </c>
      <c r="M34" s="4" t="s">
        <v>152</v>
      </c>
      <c r="N34" t="s">
        <v>193</v>
      </c>
    </row>
    <row r="35" spans="1:14" ht="42">
      <c r="A35" t="s">
        <v>192</v>
      </c>
      <c r="B35" t="s">
        <v>24</v>
      </c>
      <c r="C35" s="3">
        <v>42.51</v>
      </c>
      <c r="D35" s="3">
        <v>85.03</v>
      </c>
      <c r="E35" s="3">
        <v>121.82</v>
      </c>
      <c r="F35" s="3">
        <v>25303.03</v>
      </c>
      <c r="G35" s="3">
        <v>25813.27</v>
      </c>
      <c r="H35" s="3">
        <v>26254.75</v>
      </c>
      <c r="I35" s="3">
        <v>2066.0758333333329</v>
      </c>
      <c r="J35" s="3">
        <v>12.396454999999998</v>
      </c>
      <c r="K35" s="3">
        <v>20.66075833333333</v>
      </c>
      <c r="L35" t="s">
        <v>185</v>
      </c>
      <c r="M35" s="4" t="s">
        <v>152</v>
      </c>
      <c r="N35" t="s">
        <v>194</v>
      </c>
    </row>
    <row r="36" spans="1:14" ht="42">
      <c r="A36" t="s">
        <v>192</v>
      </c>
      <c r="B36" t="s">
        <v>155</v>
      </c>
      <c r="C36" s="3">
        <v>46.1</v>
      </c>
      <c r="D36" s="3">
        <v>92.21</v>
      </c>
      <c r="E36" s="3">
        <v>132.1</v>
      </c>
      <c r="F36" s="3">
        <v>27438.43</v>
      </c>
      <c r="G36" s="3">
        <v>27991.75</v>
      </c>
      <c r="H36" s="3">
        <v>28470.43</v>
      </c>
      <c r="I36" s="3">
        <v>2240.4358333333334</v>
      </c>
      <c r="J36" s="3">
        <v>13.442615000000002</v>
      </c>
      <c r="K36" s="3">
        <v>22.404358333333334</v>
      </c>
      <c r="L36" t="s">
        <v>185</v>
      </c>
      <c r="M36" s="4" t="s">
        <v>152</v>
      </c>
      <c r="N36" t="s">
        <v>195</v>
      </c>
    </row>
    <row r="37" spans="1:14" ht="42">
      <c r="A37" t="s">
        <v>192</v>
      </c>
      <c r="B37" t="s">
        <v>157</v>
      </c>
      <c r="C37" s="3">
        <v>51.32</v>
      </c>
      <c r="D37" s="3">
        <v>102.66</v>
      </c>
      <c r="E37" s="3">
        <v>147.07</v>
      </c>
      <c r="F37" s="3">
        <v>30549.119999999999</v>
      </c>
      <c r="G37" s="3">
        <v>31165.200000000001</v>
      </c>
      <c r="H37" s="3">
        <v>31698.12</v>
      </c>
      <c r="I37" s="3">
        <v>2494.4399999999996</v>
      </c>
      <c r="J37" s="3">
        <v>14.966639999999998</v>
      </c>
      <c r="K37" s="3">
        <v>24.944399999999998</v>
      </c>
      <c r="L37" t="s">
        <v>185</v>
      </c>
      <c r="M37" s="4" t="s">
        <v>152</v>
      </c>
      <c r="N37" t="s">
        <v>196</v>
      </c>
    </row>
    <row r="38" spans="1:14" ht="42">
      <c r="A38" t="s">
        <v>192</v>
      </c>
      <c r="B38" t="s">
        <v>159</v>
      </c>
      <c r="C38" s="3">
        <v>54.71</v>
      </c>
      <c r="D38" s="3">
        <v>109.44</v>
      </c>
      <c r="E38" s="3">
        <v>156.79</v>
      </c>
      <c r="F38" s="3">
        <v>32567.07</v>
      </c>
      <c r="G38" s="3">
        <v>33223.83</v>
      </c>
      <c r="H38" s="3">
        <v>33792.03</v>
      </c>
      <c r="I38" s="3">
        <v>2659.2125000000001</v>
      </c>
      <c r="J38" s="3">
        <v>15.955275</v>
      </c>
      <c r="K38" s="3">
        <v>26.592125000000003</v>
      </c>
      <c r="L38" t="s">
        <v>185</v>
      </c>
      <c r="M38" s="4" t="s">
        <v>152</v>
      </c>
      <c r="N38" t="s">
        <v>197</v>
      </c>
    </row>
    <row r="39" spans="1:14" ht="42">
      <c r="A39" t="s">
        <v>192</v>
      </c>
      <c r="B39" t="s">
        <v>161</v>
      </c>
      <c r="C39" s="3">
        <v>57.38</v>
      </c>
      <c r="D39" s="3">
        <v>114.77</v>
      </c>
      <c r="E39" s="3">
        <v>164.43</v>
      </c>
      <c r="F39" s="3">
        <v>34153.42</v>
      </c>
      <c r="G39" s="3">
        <v>34842.1</v>
      </c>
      <c r="H39" s="3">
        <v>35438.019999999997</v>
      </c>
      <c r="I39" s="3">
        <v>2788.7383333333332</v>
      </c>
      <c r="J39" s="3">
        <v>16.732430000000001</v>
      </c>
      <c r="K39" s="3">
        <v>27.887383333333332</v>
      </c>
      <c r="L39" t="s">
        <v>185</v>
      </c>
      <c r="M39" s="4" t="s">
        <v>152</v>
      </c>
      <c r="N39" t="s">
        <v>198</v>
      </c>
    </row>
    <row r="40" spans="1:14" ht="42">
      <c r="A40" t="s">
        <v>7</v>
      </c>
      <c r="B40" t="s">
        <v>10</v>
      </c>
      <c r="C40" s="3">
        <v>41.61</v>
      </c>
      <c r="D40" s="3">
        <v>83.23</v>
      </c>
      <c r="E40" s="3">
        <v>119.24</v>
      </c>
      <c r="F40" s="3">
        <v>24767.599999999999</v>
      </c>
      <c r="G40" s="3">
        <v>25267.040000000001</v>
      </c>
      <c r="H40" s="3">
        <v>25699.16</v>
      </c>
      <c r="I40" s="3">
        <v>2022.3566666666668</v>
      </c>
      <c r="J40" s="3">
        <v>12.13414</v>
      </c>
      <c r="K40" s="3">
        <v>20.223566666666667</v>
      </c>
      <c r="L40" t="s">
        <v>185</v>
      </c>
      <c r="M40" s="4" t="s">
        <v>152</v>
      </c>
      <c r="N40" t="s">
        <v>199</v>
      </c>
    </row>
    <row r="41" spans="1:14" ht="42">
      <c r="A41" t="s">
        <v>7</v>
      </c>
      <c r="B41" t="s">
        <v>24</v>
      </c>
      <c r="C41" s="3">
        <v>46.35</v>
      </c>
      <c r="D41" s="3">
        <v>92.7</v>
      </c>
      <c r="E41" s="3">
        <v>132.81</v>
      </c>
      <c r="F41" s="3">
        <v>27587.13</v>
      </c>
      <c r="G41" s="3">
        <v>28143.33</v>
      </c>
      <c r="H41" s="3">
        <v>28624.65</v>
      </c>
      <c r="I41" s="3">
        <v>2252.5775000000003</v>
      </c>
      <c r="J41" s="3">
        <v>13.515465000000003</v>
      </c>
      <c r="K41" s="3">
        <v>22.525775000000003</v>
      </c>
      <c r="L41" t="s">
        <v>185</v>
      </c>
      <c r="M41" s="4" t="s">
        <v>152</v>
      </c>
      <c r="N41" t="s">
        <v>200</v>
      </c>
    </row>
    <row r="42" spans="1:14" ht="42">
      <c r="A42" t="s">
        <v>7</v>
      </c>
      <c r="B42" t="s">
        <v>155</v>
      </c>
      <c r="C42" s="3">
        <v>50.48</v>
      </c>
      <c r="D42" s="3">
        <v>100.98</v>
      </c>
      <c r="E42" s="3">
        <v>144.66999999999999</v>
      </c>
      <c r="F42" s="3">
        <v>30049.71</v>
      </c>
      <c r="G42" s="3">
        <v>30655.71</v>
      </c>
      <c r="H42" s="3">
        <v>31179.99</v>
      </c>
      <c r="I42" s="3">
        <v>2453.6624999999999</v>
      </c>
      <c r="J42" s="3">
        <v>14.721975</v>
      </c>
      <c r="K42" s="3">
        <v>24.536625000000001</v>
      </c>
      <c r="L42" t="s">
        <v>185</v>
      </c>
      <c r="M42" s="4" t="s">
        <v>152</v>
      </c>
      <c r="N42" t="s">
        <v>201</v>
      </c>
    </row>
    <row r="43" spans="1:14" ht="42">
      <c r="A43" t="s">
        <v>7</v>
      </c>
      <c r="B43" t="s">
        <v>157</v>
      </c>
      <c r="C43" s="3">
        <v>54.57</v>
      </c>
      <c r="D43" s="3">
        <v>109.14</v>
      </c>
      <c r="E43" s="3">
        <v>156.36000000000001</v>
      </c>
      <c r="F43" s="3">
        <v>32478.73</v>
      </c>
      <c r="G43" s="3">
        <v>33133.57</v>
      </c>
      <c r="H43" s="3">
        <v>33700.21</v>
      </c>
      <c r="I43" s="3">
        <v>2651.9908333333333</v>
      </c>
      <c r="J43" s="3">
        <v>15.911944999999999</v>
      </c>
      <c r="K43" s="3">
        <v>26.519908333333333</v>
      </c>
      <c r="L43" t="s">
        <v>185</v>
      </c>
      <c r="M43" s="4" t="s">
        <v>152</v>
      </c>
      <c r="N43" t="s">
        <v>202</v>
      </c>
    </row>
    <row r="44" spans="1:14" ht="42">
      <c r="A44" t="s">
        <v>7</v>
      </c>
      <c r="B44" t="s">
        <v>159</v>
      </c>
      <c r="C44" s="3">
        <v>58.63</v>
      </c>
      <c r="D44" s="3">
        <v>117.27</v>
      </c>
      <c r="E44" s="3">
        <v>168.01</v>
      </c>
      <c r="F44" s="3">
        <v>34898.31</v>
      </c>
      <c r="G44" s="3">
        <v>35601.99</v>
      </c>
      <c r="H44" s="3">
        <v>36210.870000000003</v>
      </c>
      <c r="I44" s="3">
        <v>2849.5624999999995</v>
      </c>
      <c r="J44" s="3">
        <v>17.097374999999996</v>
      </c>
      <c r="K44" s="3">
        <v>28.495624999999997</v>
      </c>
      <c r="L44" t="s">
        <v>185</v>
      </c>
      <c r="M44" s="4" t="s">
        <v>152</v>
      </c>
      <c r="N44" t="s">
        <v>203</v>
      </c>
    </row>
    <row r="45" spans="1:14" ht="42">
      <c r="A45" t="s">
        <v>7</v>
      </c>
      <c r="B45" t="s">
        <v>161</v>
      </c>
      <c r="C45" s="3">
        <v>61.65</v>
      </c>
      <c r="D45" s="3">
        <v>123.32</v>
      </c>
      <c r="E45" s="3">
        <v>176.67</v>
      </c>
      <c r="F45" s="3">
        <v>36696.49</v>
      </c>
      <c r="G45" s="3">
        <v>37436.53</v>
      </c>
      <c r="H45" s="3">
        <v>38076.730000000003</v>
      </c>
      <c r="I45" s="3">
        <v>2996.3908333333329</v>
      </c>
      <c r="J45" s="3">
        <v>17.978344999999997</v>
      </c>
      <c r="K45" s="3">
        <v>29.963908333333329</v>
      </c>
      <c r="L45" t="s">
        <v>185</v>
      </c>
      <c r="M45" s="4" t="s">
        <v>152</v>
      </c>
      <c r="N45" t="s">
        <v>204</v>
      </c>
    </row>
    <row r="46" spans="1:14" ht="42">
      <c r="A46" t="s">
        <v>205</v>
      </c>
      <c r="B46" t="s">
        <v>10</v>
      </c>
      <c r="C46" s="3">
        <v>41.61</v>
      </c>
      <c r="D46" s="3">
        <v>83.23</v>
      </c>
      <c r="E46" s="3">
        <v>119.24</v>
      </c>
      <c r="F46" s="3">
        <v>24767.599999999999</v>
      </c>
      <c r="G46" s="3">
        <v>25267.040000000001</v>
      </c>
      <c r="H46" s="3">
        <v>25699.16</v>
      </c>
      <c r="I46" s="3">
        <v>2022.3566666666668</v>
      </c>
      <c r="J46" s="3">
        <v>12.13414</v>
      </c>
      <c r="K46" s="3">
        <v>20.223566666666667</v>
      </c>
      <c r="L46" t="s">
        <v>185</v>
      </c>
      <c r="M46" s="4" t="s">
        <v>152</v>
      </c>
      <c r="N46" t="s">
        <v>206</v>
      </c>
    </row>
    <row r="47" spans="1:14" ht="42">
      <c r="A47" t="s">
        <v>205</v>
      </c>
      <c r="B47" t="s">
        <v>24</v>
      </c>
      <c r="C47" s="3">
        <v>47.54</v>
      </c>
      <c r="D47" s="3">
        <v>95.09</v>
      </c>
      <c r="E47" s="3">
        <v>136.22999999999999</v>
      </c>
      <c r="F47" s="3">
        <v>28296.09</v>
      </c>
      <c r="G47" s="3">
        <v>28866.69</v>
      </c>
      <c r="H47" s="3">
        <v>29360.37</v>
      </c>
      <c r="I47" s="3">
        <v>2310.4675000000002</v>
      </c>
      <c r="J47" s="3">
        <v>13.862805000000002</v>
      </c>
      <c r="K47" s="3">
        <v>23.104675000000004</v>
      </c>
      <c r="L47" t="s">
        <v>185</v>
      </c>
      <c r="M47" s="4" t="s">
        <v>152</v>
      </c>
      <c r="N47" t="s">
        <v>207</v>
      </c>
    </row>
    <row r="48" spans="1:14" ht="42">
      <c r="A48" t="s">
        <v>205</v>
      </c>
      <c r="B48" t="s">
        <v>155</v>
      </c>
      <c r="C48" s="3">
        <v>52.02</v>
      </c>
      <c r="D48" s="3">
        <v>104.06</v>
      </c>
      <c r="E48" s="3">
        <v>149.08000000000001</v>
      </c>
      <c r="F48" s="3">
        <v>30965.39</v>
      </c>
      <c r="G48" s="3">
        <v>31589.87</v>
      </c>
      <c r="H48" s="3">
        <v>32130.11</v>
      </c>
      <c r="I48" s="3">
        <v>2528.4291666666668</v>
      </c>
      <c r="J48" s="3">
        <v>15.170575000000001</v>
      </c>
      <c r="K48" s="3">
        <v>25.284291666666668</v>
      </c>
      <c r="L48" t="s">
        <v>185</v>
      </c>
      <c r="M48" s="4" t="s">
        <v>152</v>
      </c>
      <c r="N48" t="s">
        <v>208</v>
      </c>
    </row>
    <row r="49" spans="1:14" ht="42">
      <c r="A49" t="s">
        <v>205</v>
      </c>
      <c r="B49" t="s">
        <v>157</v>
      </c>
      <c r="C49" s="3">
        <v>57.82</v>
      </c>
      <c r="D49" s="3">
        <v>115.66</v>
      </c>
      <c r="E49" s="3">
        <v>165.7</v>
      </c>
      <c r="F49" s="3">
        <v>34417.769999999997</v>
      </c>
      <c r="G49" s="3">
        <v>35111.85</v>
      </c>
      <c r="H49" s="3">
        <v>35712.33</v>
      </c>
      <c r="I49" s="3">
        <v>2810.3274999999994</v>
      </c>
      <c r="J49" s="3">
        <v>16.861964999999998</v>
      </c>
      <c r="K49" s="3">
        <v>28.103274999999996</v>
      </c>
      <c r="L49" t="s">
        <v>185</v>
      </c>
      <c r="M49" s="4" t="s">
        <v>152</v>
      </c>
      <c r="N49" t="s">
        <v>209</v>
      </c>
    </row>
    <row r="50" spans="1:14" ht="42">
      <c r="A50" t="s">
        <v>205</v>
      </c>
      <c r="B50" t="s">
        <v>159</v>
      </c>
      <c r="C50" s="3">
        <v>61.65</v>
      </c>
      <c r="D50" s="3">
        <v>123.32</v>
      </c>
      <c r="E50" s="3">
        <v>176.67</v>
      </c>
      <c r="F50" s="3">
        <v>36696.49</v>
      </c>
      <c r="G50" s="3">
        <v>37436.53</v>
      </c>
      <c r="H50" s="3">
        <v>38076.730000000003</v>
      </c>
      <c r="I50" s="3">
        <v>2996.3908333333329</v>
      </c>
      <c r="J50" s="3">
        <v>17.978344999999997</v>
      </c>
      <c r="K50" s="3">
        <v>29.963908333333329</v>
      </c>
      <c r="L50" t="s">
        <v>185</v>
      </c>
      <c r="M50" s="4" t="s">
        <v>152</v>
      </c>
      <c r="N50" t="s">
        <v>210</v>
      </c>
    </row>
    <row r="51" spans="1:14" ht="42">
      <c r="A51" t="s">
        <v>205</v>
      </c>
      <c r="B51" t="s">
        <v>161</v>
      </c>
      <c r="C51" s="3">
        <v>64.69</v>
      </c>
      <c r="D51" s="3">
        <v>129.4</v>
      </c>
      <c r="E51" s="3">
        <v>185.38</v>
      </c>
      <c r="F51" s="3">
        <v>38505.47</v>
      </c>
      <c r="G51" s="3">
        <v>39281.99</v>
      </c>
      <c r="H51" s="3">
        <v>39953.75</v>
      </c>
      <c r="I51" s="3">
        <v>3144.0991666666669</v>
      </c>
      <c r="J51" s="3">
        <v>18.864595000000001</v>
      </c>
      <c r="K51" s="3">
        <v>31.440991666666669</v>
      </c>
      <c r="L51" t="s">
        <v>185</v>
      </c>
      <c r="M51" s="4" t="s">
        <v>152</v>
      </c>
      <c r="N51" t="s">
        <v>211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"/>
  <sheetViews>
    <sheetView workbookViewId="0"/>
  </sheetViews>
  <sheetFormatPr defaultRowHeight="14"/>
  <cols>
    <col min="1" max="1" width="29.75" customWidth="1"/>
    <col min="2" max="2" width="14.6640625" customWidth="1"/>
    <col min="3" max="3" width="10.9140625" customWidth="1"/>
    <col min="4" max="4" width="14.75" customWidth="1"/>
    <col min="5" max="5" width="10.9140625" customWidth="1"/>
    <col min="6" max="6" width="7.6640625" customWidth="1"/>
    <col min="7" max="7" width="35" customWidth="1"/>
    <col min="8" max="8" width="45" customWidth="1"/>
  </cols>
  <sheetData>
    <row r="1" spans="1:8" ht="20">
      <c r="A1" s="20" t="s">
        <v>212</v>
      </c>
      <c r="B1" s="20"/>
      <c r="C1" s="20"/>
      <c r="D1" s="20"/>
      <c r="E1" s="20"/>
      <c r="F1" s="20"/>
      <c r="G1" s="20"/>
      <c r="H1" s="20"/>
    </row>
    <row r="3" spans="1:8" ht="28">
      <c r="A3" s="1" t="s">
        <v>129</v>
      </c>
      <c r="B3" s="1" t="s">
        <v>213</v>
      </c>
      <c r="C3" s="1" t="s">
        <v>214</v>
      </c>
      <c r="D3" s="1" t="s">
        <v>215</v>
      </c>
      <c r="E3" s="1" t="s">
        <v>216</v>
      </c>
      <c r="F3" s="1" t="s">
        <v>217</v>
      </c>
      <c r="G3" s="1" t="s">
        <v>218</v>
      </c>
      <c r="H3" s="1" t="s">
        <v>219</v>
      </c>
    </row>
    <row r="4" spans="1:8">
      <c r="A4" t="s">
        <v>220</v>
      </c>
      <c r="B4" t="s">
        <v>221</v>
      </c>
      <c r="C4" s="3">
        <v>205.1</v>
      </c>
      <c r="D4" s="3">
        <v>5.3</v>
      </c>
      <c r="E4" s="3">
        <v>210.4</v>
      </c>
      <c r="F4">
        <v>12</v>
      </c>
      <c r="G4" t="s">
        <v>222</v>
      </c>
      <c r="H4" t="s">
        <v>152</v>
      </c>
    </row>
    <row r="5" spans="1:8">
      <c r="A5" t="s">
        <v>220</v>
      </c>
      <c r="B5" t="s">
        <v>223</v>
      </c>
      <c r="C5" s="3">
        <v>252.1</v>
      </c>
      <c r="D5" s="3">
        <v>6.6</v>
      </c>
      <c r="E5" s="3">
        <v>258.7</v>
      </c>
      <c r="F5">
        <v>12</v>
      </c>
      <c r="G5" t="s">
        <v>222</v>
      </c>
      <c r="H5" t="s">
        <v>152</v>
      </c>
    </row>
    <row r="6" spans="1:8">
      <c r="A6" t="s">
        <v>220</v>
      </c>
      <c r="B6" t="s">
        <v>224</v>
      </c>
      <c r="C6" s="3">
        <v>320.3</v>
      </c>
      <c r="D6" s="3">
        <v>8.3000000000000007</v>
      </c>
      <c r="E6" s="3">
        <v>328.6</v>
      </c>
      <c r="F6">
        <v>12</v>
      </c>
      <c r="G6" t="s">
        <v>222</v>
      </c>
      <c r="H6" t="s">
        <v>152</v>
      </c>
    </row>
    <row r="7" spans="1:8">
      <c r="A7" t="s">
        <v>225</v>
      </c>
      <c r="B7" t="s">
        <v>226</v>
      </c>
      <c r="C7" s="3">
        <v>109.5</v>
      </c>
      <c r="D7" s="3">
        <v>7.1</v>
      </c>
      <c r="E7" s="3">
        <v>116.6</v>
      </c>
      <c r="F7">
        <v>12</v>
      </c>
      <c r="G7" t="s">
        <v>227</v>
      </c>
      <c r="H7" t="s">
        <v>152</v>
      </c>
    </row>
    <row r="8" spans="1:8">
      <c r="A8" t="s">
        <v>225</v>
      </c>
      <c r="B8" t="s">
        <v>228</v>
      </c>
      <c r="C8" s="3">
        <v>97.8</v>
      </c>
      <c r="D8" s="3">
        <v>6.4</v>
      </c>
      <c r="E8" s="3">
        <v>104.2</v>
      </c>
      <c r="F8">
        <v>12</v>
      </c>
      <c r="G8" t="s">
        <v>227</v>
      </c>
      <c r="H8" t="s">
        <v>152</v>
      </c>
    </row>
    <row r="9" spans="1:8">
      <c r="A9" t="s">
        <v>225</v>
      </c>
      <c r="B9" t="s">
        <v>229</v>
      </c>
      <c r="C9" s="3">
        <v>88.8</v>
      </c>
      <c r="D9" s="3">
        <v>5.8</v>
      </c>
      <c r="E9" s="3">
        <v>94.6</v>
      </c>
      <c r="F9">
        <v>12</v>
      </c>
      <c r="G9" t="s">
        <v>227</v>
      </c>
      <c r="H9" t="s">
        <v>152</v>
      </c>
    </row>
    <row r="10" spans="1:8">
      <c r="A10" t="s">
        <v>225</v>
      </c>
      <c r="B10" t="s">
        <v>230</v>
      </c>
      <c r="C10" s="3">
        <v>88.8</v>
      </c>
      <c r="D10" s="3">
        <v>5.8</v>
      </c>
      <c r="E10" s="3">
        <v>94.6</v>
      </c>
      <c r="F10">
        <v>12</v>
      </c>
      <c r="G10" t="s">
        <v>227</v>
      </c>
      <c r="H10" t="s">
        <v>152</v>
      </c>
    </row>
    <row r="11" spans="1:8">
      <c r="A11" t="s">
        <v>231</v>
      </c>
      <c r="B11" t="s">
        <v>232</v>
      </c>
      <c r="C11" s="3">
        <v>3031.9</v>
      </c>
      <c r="D11" s="3">
        <v>197.1</v>
      </c>
      <c r="E11" s="3">
        <v>3229</v>
      </c>
      <c r="F11">
        <v>1</v>
      </c>
      <c r="G11" t="s">
        <v>233</v>
      </c>
      <c r="H11" t="s">
        <v>152</v>
      </c>
    </row>
    <row r="12" spans="1:8">
      <c r="A12" t="s">
        <v>111</v>
      </c>
      <c r="B12" t="s">
        <v>234</v>
      </c>
      <c r="C12" s="3">
        <v>0</v>
      </c>
      <c r="D12" s="3">
        <v>110</v>
      </c>
      <c r="E12" s="3">
        <v>110</v>
      </c>
      <c r="F12">
        <v>1</v>
      </c>
      <c r="G12" t="s">
        <v>235</v>
      </c>
      <c r="H12" t="s">
        <v>152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/>
  </sheetViews>
  <sheetFormatPr defaultRowHeight="14"/>
  <cols>
    <col min="1" max="1" width="30" customWidth="1"/>
    <col min="2" max="2" width="40" customWidth="1"/>
    <col min="3" max="3" width="24" customWidth="1"/>
    <col min="4" max="4" width="14" customWidth="1"/>
    <col min="5" max="5" width="24" customWidth="1"/>
    <col min="6" max="6" width="14" customWidth="1"/>
    <col min="7" max="7" width="24" customWidth="1"/>
    <col min="8" max="8" width="36" customWidth="1"/>
  </cols>
  <sheetData>
    <row r="1" spans="1:8" ht="20">
      <c r="A1" s="20" t="s">
        <v>236</v>
      </c>
      <c r="B1" s="20"/>
      <c r="C1" s="20"/>
      <c r="D1" s="20"/>
      <c r="E1" s="20"/>
      <c r="F1" s="20"/>
      <c r="G1" s="20"/>
      <c r="H1" s="20"/>
    </row>
    <row r="3" spans="1:8">
      <c r="A3" s="1" t="s">
        <v>237</v>
      </c>
      <c r="B3" s="1" t="s">
        <v>238</v>
      </c>
      <c r="C3" s="1" t="s">
        <v>239</v>
      </c>
      <c r="D3" s="1" t="s">
        <v>56</v>
      </c>
      <c r="E3" s="1" t="s">
        <v>51</v>
      </c>
      <c r="F3" s="1" t="s">
        <v>85</v>
      </c>
      <c r="G3" s="1" t="s">
        <v>111</v>
      </c>
      <c r="H3" s="1" t="s">
        <v>67</v>
      </c>
    </row>
    <row r="4" spans="1:8">
      <c r="A4" s="4" t="s">
        <v>240</v>
      </c>
      <c r="B4" s="4" t="s">
        <v>241</v>
      </c>
      <c r="C4" s="4" t="s">
        <v>242</v>
      </c>
      <c r="D4" s="4" t="s">
        <v>243</v>
      </c>
      <c r="E4" s="4" t="s">
        <v>244</v>
      </c>
      <c r="F4" s="4" t="s">
        <v>245</v>
      </c>
      <c r="G4" s="4" t="s">
        <v>246</v>
      </c>
      <c r="H4" s="4" t="s">
        <v>247</v>
      </c>
    </row>
    <row r="5" spans="1:8">
      <c r="A5" s="4" t="s">
        <v>248</v>
      </c>
      <c r="B5" s="4" t="s">
        <v>249</v>
      </c>
      <c r="C5" s="4" t="s">
        <v>242</v>
      </c>
      <c r="D5" s="4" t="s">
        <v>250</v>
      </c>
      <c r="E5" s="4" t="s">
        <v>251</v>
      </c>
      <c r="F5" s="4" t="s">
        <v>84</v>
      </c>
      <c r="G5" s="4" t="s">
        <v>84</v>
      </c>
      <c r="H5" s="4" t="s">
        <v>252</v>
      </c>
    </row>
    <row r="6" spans="1:8">
      <c r="A6" s="4" t="s">
        <v>253</v>
      </c>
      <c r="B6" s="4" t="s">
        <v>254</v>
      </c>
      <c r="C6" s="4" t="s">
        <v>242</v>
      </c>
      <c r="D6" s="4" t="s">
        <v>255</v>
      </c>
      <c r="E6" s="4" t="s">
        <v>251</v>
      </c>
      <c r="F6" s="4" t="s">
        <v>84</v>
      </c>
      <c r="G6" s="4" t="s">
        <v>84</v>
      </c>
      <c r="H6" s="4" t="s">
        <v>256</v>
      </c>
    </row>
    <row r="7" spans="1:8" ht="28">
      <c r="A7" s="4" t="s">
        <v>257</v>
      </c>
      <c r="B7" s="4" t="s">
        <v>258</v>
      </c>
      <c r="C7" s="4" t="s">
        <v>242</v>
      </c>
      <c r="D7" s="4" t="s">
        <v>259</v>
      </c>
      <c r="E7" s="4" t="s">
        <v>251</v>
      </c>
      <c r="F7" s="4" t="s">
        <v>84</v>
      </c>
      <c r="G7" s="4" t="s">
        <v>260</v>
      </c>
      <c r="H7" s="4" t="s">
        <v>261</v>
      </c>
    </row>
    <row r="8" spans="1:8">
      <c r="A8" s="4" t="s">
        <v>262</v>
      </c>
      <c r="B8" s="4" t="s">
        <v>263</v>
      </c>
      <c r="C8" s="4" t="s">
        <v>264</v>
      </c>
      <c r="D8" s="4" t="s">
        <v>259</v>
      </c>
      <c r="E8" s="4" t="s">
        <v>251</v>
      </c>
      <c r="F8" s="4" t="s">
        <v>84</v>
      </c>
      <c r="G8" s="4" t="s">
        <v>265</v>
      </c>
      <c r="H8" s="4" t="s">
        <v>266</v>
      </c>
    </row>
    <row r="9" spans="1:8">
      <c r="A9" s="4" t="s">
        <v>267</v>
      </c>
      <c r="B9" s="4" t="s">
        <v>268</v>
      </c>
      <c r="C9" s="4" t="s">
        <v>242</v>
      </c>
      <c r="D9" s="4" t="s">
        <v>259</v>
      </c>
      <c r="E9" s="4" t="s">
        <v>269</v>
      </c>
      <c r="F9" s="4" t="s">
        <v>84</v>
      </c>
      <c r="G9" s="4" t="s">
        <v>270</v>
      </c>
      <c r="H9" s="4" t="s">
        <v>271</v>
      </c>
    </row>
    <row r="10" spans="1:8" ht="28">
      <c r="A10" s="4" t="s">
        <v>272</v>
      </c>
      <c r="B10" s="4" t="s">
        <v>273</v>
      </c>
      <c r="C10" s="4" t="s">
        <v>242</v>
      </c>
      <c r="D10" s="4" t="s">
        <v>259</v>
      </c>
      <c r="E10" s="4" t="s">
        <v>274</v>
      </c>
      <c r="F10" s="4" t="s">
        <v>84</v>
      </c>
      <c r="G10" s="4" t="s">
        <v>270</v>
      </c>
      <c r="H10" s="4" t="s">
        <v>275</v>
      </c>
    </row>
    <row r="11" spans="1:8">
      <c r="A11" s="4" t="s">
        <v>276</v>
      </c>
      <c r="B11" s="4" t="s">
        <v>277</v>
      </c>
      <c r="C11" s="4" t="s">
        <v>242</v>
      </c>
      <c r="D11" s="4" t="s">
        <v>259</v>
      </c>
      <c r="E11" s="4" t="s">
        <v>278</v>
      </c>
      <c r="F11" s="4" t="s">
        <v>84</v>
      </c>
      <c r="G11" s="4" t="s">
        <v>279</v>
      </c>
      <c r="H11" s="4" t="s">
        <v>280</v>
      </c>
    </row>
    <row r="12" spans="1:8">
      <c r="A12" s="4" t="s">
        <v>281</v>
      </c>
      <c r="B12" s="4" t="s">
        <v>282</v>
      </c>
      <c r="C12" s="4" t="s">
        <v>242</v>
      </c>
      <c r="D12" s="4" t="s">
        <v>259</v>
      </c>
      <c r="E12" s="4" t="s">
        <v>283</v>
      </c>
      <c r="F12" s="4" t="s">
        <v>84</v>
      </c>
      <c r="G12" s="4" t="s">
        <v>284</v>
      </c>
      <c r="H12" s="4" t="s">
        <v>285</v>
      </c>
    </row>
    <row r="13" spans="1:8" ht="28">
      <c r="A13" s="4" t="s">
        <v>286</v>
      </c>
      <c r="B13" s="4" t="s">
        <v>287</v>
      </c>
      <c r="C13" s="4" t="s">
        <v>242</v>
      </c>
      <c r="D13" s="4" t="s">
        <v>259</v>
      </c>
      <c r="E13" s="4" t="s">
        <v>288</v>
      </c>
      <c r="F13" s="4" t="s">
        <v>84</v>
      </c>
      <c r="G13" s="4" t="s">
        <v>289</v>
      </c>
      <c r="H13" s="4" t="s">
        <v>290</v>
      </c>
    </row>
    <row r="14" spans="1:8" ht="28">
      <c r="A14" s="4" t="s">
        <v>291</v>
      </c>
      <c r="B14" s="4" t="s">
        <v>292</v>
      </c>
      <c r="C14" s="4" t="s">
        <v>242</v>
      </c>
      <c r="D14" s="4" t="s">
        <v>259</v>
      </c>
      <c r="E14" s="4" t="s">
        <v>293</v>
      </c>
      <c r="F14" s="4" t="s">
        <v>84</v>
      </c>
      <c r="G14" s="4" t="s">
        <v>265</v>
      </c>
      <c r="H14" s="4" t="s">
        <v>294</v>
      </c>
    </row>
    <row r="15" spans="1:8" ht="28">
      <c r="A15" s="4" t="s">
        <v>295</v>
      </c>
      <c r="B15" s="4" t="s">
        <v>296</v>
      </c>
      <c r="C15" s="4" t="s">
        <v>242</v>
      </c>
      <c r="D15" s="4" t="s">
        <v>259</v>
      </c>
      <c r="E15" s="4" t="s">
        <v>297</v>
      </c>
      <c r="F15" s="4" t="s">
        <v>245</v>
      </c>
      <c r="G15" s="4" t="s">
        <v>260</v>
      </c>
      <c r="H15" s="4" t="s">
        <v>298</v>
      </c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/>
  </sheetViews>
  <sheetFormatPr defaultRowHeight="14"/>
  <cols>
    <col min="1" max="1" width="30" customWidth="1"/>
    <col min="2" max="2" width="55" customWidth="1"/>
    <col min="3" max="3" width="70" customWidth="1"/>
    <col min="4" max="4" width="60" customWidth="1"/>
  </cols>
  <sheetData>
    <row r="1" spans="1:4" ht="20">
      <c r="A1" s="20" t="s">
        <v>299</v>
      </c>
      <c r="B1" s="20"/>
      <c r="C1" s="20"/>
      <c r="D1" s="20"/>
    </row>
    <row r="3" spans="1:4">
      <c r="A3" s="1" t="s">
        <v>219</v>
      </c>
      <c r="B3" s="1" t="s">
        <v>300</v>
      </c>
      <c r="C3" s="1" t="s">
        <v>301</v>
      </c>
      <c r="D3" s="1" t="s">
        <v>302</v>
      </c>
    </row>
    <row r="4" spans="1:4" ht="28">
      <c r="A4" s="4" t="s">
        <v>303</v>
      </c>
      <c r="B4" s="4" t="s">
        <v>304</v>
      </c>
      <c r="C4" s="4" t="s">
        <v>305</v>
      </c>
      <c r="D4" s="4" t="s">
        <v>306</v>
      </c>
    </row>
    <row r="5" spans="1:4" ht="28">
      <c r="A5" s="4" t="s">
        <v>307</v>
      </c>
      <c r="B5" s="4" t="s">
        <v>308</v>
      </c>
      <c r="C5" s="4" t="s">
        <v>152</v>
      </c>
      <c r="D5" s="4" t="s">
        <v>309</v>
      </c>
    </row>
    <row r="6" spans="1:4" ht="28">
      <c r="A6" s="4" t="s">
        <v>310</v>
      </c>
      <c r="B6" s="4" t="s">
        <v>311</v>
      </c>
      <c r="C6" s="4" t="s">
        <v>312</v>
      </c>
      <c r="D6" s="4" t="s">
        <v>313</v>
      </c>
    </row>
    <row r="7" spans="1:4" ht="28">
      <c r="A7" s="4" t="s">
        <v>314</v>
      </c>
      <c r="B7" s="4" t="s">
        <v>315</v>
      </c>
      <c r="C7" s="4" t="s">
        <v>316</v>
      </c>
      <c r="D7" s="4" t="s">
        <v>317</v>
      </c>
    </row>
    <row r="8" spans="1:4" ht="28">
      <c r="A8" s="4" t="s">
        <v>318</v>
      </c>
      <c r="B8" s="4" t="s">
        <v>319</v>
      </c>
      <c r="C8" s="4" t="s">
        <v>320</v>
      </c>
      <c r="D8" s="4" t="s">
        <v>321</v>
      </c>
    </row>
    <row r="9" spans="1:4" ht="28">
      <c r="A9" s="4" t="s">
        <v>322</v>
      </c>
      <c r="B9" s="4" t="s">
        <v>323</v>
      </c>
      <c r="C9" s="4" t="s">
        <v>324</v>
      </c>
      <c r="D9" s="4" t="s">
        <v>325</v>
      </c>
    </row>
    <row r="10" spans="1:4" ht="28">
      <c r="A10" s="4" t="s">
        <v>326</v>
      </c>
      <c r="B10" s="4" t="s">
        <v>327</v>
      </c>
      <c r="C10" s="4" t="s">
        <v>328</v>
      </c>
      <c r="D10" s="4" t="s">
        <v>329</v>
      </c>
    </row>
    <row r="12" spans="1:4">
      <c r="A12" s="22" t="s">
        <v>330</v>
      </c>
      <c r="B12" s="22"/>
      <c r="C12" s="22"/>
      <c r="D12" s="22"/>
    </row>
    <row r="13" spans="1:4">
      <c r="A13" s="21" t="s">
        <v>331</v>
      </c>
      <c r="B13" s="21"/>
      <c r="C13" s="21"/>
      <c r="D13" s="21"/>
    </row>
    <row r="14" spans="1:4">
      <c r="A14" s="21"/>
      <c r="B14" s="21"/>
      <c r="C14" s="21"/>
      <c r="D14" s="21"/>
    </row>
    <row r="15" spans="1:4">
      <c r="A15" s="21"/>
      <c r="B15" s="21"/>
      <c r="C15" s="21"/>
      <c r="D15" s="21"/>
    </row>
    <row r="16" spans="1:4">
      <c r="A16" s="21"/>
      <c r="B16" s="21"/>
      <c r="C16" s="21"/>
      <c r="D16" s="21"/>
    </row>
  </sheetData>
  <mergeCells count="3">
    <mergeCell ref="A1:D1"/>
    <mergeCell ref="A12:D12"/>
    <mergeCell ref="A13:D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workbookViewId="0"/>
  </sheetViews>
  <sheetFormatPr defaultRowHeight="14"/>
  <cols>
    <col min="1" max="1" width="21.9140625" customWidth="1"/>
    <col min="2" max="2" width="6.6640625" customWidth="1"/>
    <col min="3" max="3" width="14" customWidth="1"/>
    <col min="4" max="4" width="15.25" customWidth="1"/>
    <col min="5" max="5" width="4.9140625" customWidth="1"/>
  </cols>
  <sheetData>
    <row r="1" spans="1:5" ht="28">
      <c r="A1" s="1" t="s">
        <v>332</v>
      </c>
      <c r="B1" s="1" t="s">
        <v>333</v>
      </c>
      <c r="C1" s="1" t="s">
        <v>334</v>
      </c>
      <c r="D1" s="1" t="s">
        <v>12</v>
      </c>
      <c r="E1" s="1" t="s">
        <v>335</v>
      </c>
    </row>
    <row r="2" spans="1:5">
      <c r="A2" t="s">
        <v>150</v>
      </c>
      <c r="B2" t="s">
        <v>10</v>
      </c>
      <c r="C2" s="2">
        <v>0.23</v>
      </c>
      <c r="D2" t="s">
        <v>13</v>
      </c>
      <c r="E2" t="s">
        <v>124</v>
      </c>
    </row>
    <row r="3" spans="1:5">
      <c r="A3" t="s">
        <v>163</v>
      </c>
      <c r="B3" t="s">
        <v>24</v>
      </c>
      <c r="C3" s="2">
        <v>0.25</v>
      </c>
      <c r="D3" t="s">
        <v>272</v>
      </c>
      <c r="E3" t="s">
        <v>40</v>
      </c>
    </row>
    <row r="4" spans="1:5">
      <c r="A4" t="s">
        <v>170</v>
      </c>
      <c r="B4" t="s">
        <v>155</v>
      </c>
      <c r="C4" s="2">
        <v>0.33</v>
      </c>
      <c r="D4" t="s">
        <v>267</v>
      </c>
    </row>
    <row r="5" spans="1:5">
      <c r="A5" t="s">
        <v>177</v>
      </c>
      <c r="B5" t="s">
        <v>157</v>
      </c>
      <c r="C5" s="2">
        <v>0.35</v>
      </c>
      <c r="D5" t="s">
        <v>336</v>
      </c>
    </row>
    <row r="6" spans="1:5">
      <c r="A6" t="s">
        <v>184</v>
      </c>
      <c r="B6" t="s">
        <v>159</v>
      </c>
      <c r="C6" s="2">
        <v>0.38</v>
      </c>
      <c r="D6" t="s">
        <v>337</v>
      </c>
    </row>
    <row r="7" spans="1:5">
      <c r="A7" t="s">
        <v>192</v>
      </c>
      <c r="B7" t="s">
        <v>161</v>
      </c>
      <c r="C7" s="2">
        <v>0.43</v>
      </c>
      <c r="D7" t="s">
        <v>338</v>
      </c>
    </row>
    <row r="8" spans="1:5">
      <c r="A8" t="s">
        <v>7</v>
      </c>
    </row>
    <row r="9" spans="1:5">
      <c r="A9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Dashboard</vt:lpstr>
      <vt:lpstr>Arretrati</vt:lpstr>
      <vt:lpstr>Cedolino</vt:lpstr>
      <vt:lpstr>Verifica_NoIPA</vt:lpstr>
      <vt:lpstr>Tabelle_CCNL</vt:lpstr>
      <vt:lpstr>Indennita</vt:lpstr>
      <vt:lpstr>Scenari</vt:lpstr>
      <vt:lpstr>Fonti</vt:lpstr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</dc:creator>
  <cp:lastModifiedBy>web</cp:lastModifiedBy>
  <dcterms:created xsi:type="dcterms:W3CDTF">2026-08-11T20:04:43Z</dcterms:created>
  <dcterms:modified xsi:type="dcterms:W3CDTF">2026-08-11T20:13:55Z</dcterms:modified>
</cp:coreProperties>
</file>